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7 21 Julio/Publicación/Publicación 01 Julio 2021/"/>
    </mc:Choice>
  </mc:AlternateContent>
  <xr:revisionPtr revIDLastSave="712" documentId="11_71984A88CAA172853BA1E3B5F1FC18663831C2AD" xr6:coauthVersionLast="47" xr6:coauthVersionMax="47" xr10:uidLastSave="{397BDBAB-C658-4EA5-AB72-D7609C1E8D3C}"/>
  <workbookProtection workbookAlgorithmName="SHA-512" workbookHashValue="Mix03f50nVyPHI2IOqWS1TlB/c5ZsJPhx7sXsdkWYfKiCCc4Mx1eM1Cjo4FsRgaAlT5KoK1iNbCEoBcuXj9FQA==" workbookSaltValue="Q6a3DljP3nsr2VrC4WakDg==" workbookSpinCount="100000" lockStructure="1"/>
  <bookViews>
    <workbookView xWindow="-118" yWindow="-118" windowWidth="25370" windowHeight="13759" tabRatio="838" firstSheet="4" activeTab="11"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116" l="1"/>
  <c r="D16" i="116"/>
  <c r="M20" i="1" l="1"/>
  <c r="L16" i="1"/>
  <c r="K21" i="114"/>
  <c r="D13" i="121" l="1"/>
  <c r="E9" i="95"/>
  <c r="A2" i="124" l="1"/>
  <c r="Q16" i="1" l="1"/>
  <c r="D9" i="46"/>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N12" i="95"/>
  <c r="F53" i="121" l="1"/>
  <c r="E110" i="121" s="1"/>
  <c r="G9" i="70" l="1"/>
  <c r="F9" i="70"/>
  <c r="D9" i="70"/>
  <c r="B9" i="70"/>
  <c r="J8" i="70"/>
  <c r="I8" i="70"/>
  <c r="C9" i="70"/>
  <c r="I7" i="70"/>
  <c r="I9" i="70" s="1"/>
  <c r="E8" i="70" l="1"/>
  <c r="J7" i="70"/>
  <c r="J9" i="70" s="1"/>
  <c r="H8" i="70" l="1"/>
  <c r="H9" i="70" s="1"/>
  <c r="E9" i="70"/>
  <c r="G9" i="95" l="1"/>
  <c r="N11" i="95" l="1"/>
  <c r="H59" i="106" l="1"/>
  <c r="I11" i="116" l="1"/>
  <c r="H11" i="116"/>
  <c r="T16" i="1"/>
  <c r="E13" i="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7" i="114"/>
  <c r="C7" i="95"/>
  <c r="A2" i="95"/>
  <c r="K124" i="114"/>
  <c r="D22" i="46"/>
  <c r="D24" i="46" s="1"/>
  <c r="C17" i="46"/>
  <c r="D17" i="46" s="1"/>
  <c r="C14" i="46"/>
  <c r="D14" i="46" s="1"/>
  <c r="A13" i="46"/>
  <c r="C12" i="46"/>
  <c r="D12" i="46" s="1"/>
  <c r="A12" i="46"/>
  <c r="C11" i="46"/>
  <c r="D11" i="46" s="1"/>
  <c r="A11" i="46"/>
  <c r="C7" i="46"/>
  <c r="D8" i="46" s="1"/>
  <c r="A2" i="46"/>
  <c r="E20" i="1"/>
  <c r="E18"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19"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K55" i="114" s="1"/>
  <c r="I19" i="106"/>
  <c r="B17" i="106"/>
  <c r="B43" i="106" s="1"/>
  <c r="E8" i="95" l="1"/>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58" i="114"/>
  <c r="K61" i="114" s="1"/>
  <c r="K66" i="114" s="1"/>
  <c r="G8" i="95"/>
  <c r="G10" i="95" s="1"/>
  <c r="N10" i="95"/>
  <c r="K57" i="114"/>
  <c r="C17" i="95"/>
  <c r="E17" i="95" s="1"/>
  <c r="K84" i="114" s="1"/>
  <c r="D11" i="121"/>
  <c r="F8" i="4"/>
  <c r="K77" i="114" s="1"/>
  <c r="P10" i="95"/>
  <c r="D10" i="4"/>
  <c r="D15" i="4" s="1"/>
  <c r="C15" i="4"/>
  <c r="C7" i="121"/>
  <c r="C31" i="121" s="1"/>
  <c r="C54" i="121" s="1"/>
  <c r="C8" i="121"/>
  <c r="C32" i="121" s="1"/>
  <c r="C55" i="121" s="1"/>
  <c r="C9" i="121"/>
  <c r="C33" i="121" s="1"/>
  <c r="C56" i="121" s="1"/>
  <c r="K85" i="114"/>
  <c r="K80" i="114"/>
  <c r="K28" i="114"/>
  <c r="G23" i="95"/>
  <c r="B12" i="70"/>
  <c r="C12" i="70" s="1"/>
  <c r="D12" i="70" s="1"/>
  <c r="J12" i="70" s="1"/>
  <c r="E16" i="116"/>
  <c r="C16" i="116"/>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E17" i="70"/>
  <c r="F17" i="70" s="1"/>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family val="2"/>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<sst xmlns="http://schemas.openxmlformats.org/spreadsheetml/2006/main" count="1584" uniqueCount="731">
  <si>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</si>
  <si>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</si>
  <si>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</si>
  <si>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</si>
  <si>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</si>
  <si>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</si>
  <si>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</si>
  <si>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</si>
  <si>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</si>
  <si>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</si>
  <si>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</si>
  <si>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</si>
  <si>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</si>
  <si>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</si>
  <si>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</si>
  <si>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</si>
  <si>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</si>
  <si>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</si>
  <si>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</si>
  <si>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</si>
  <si>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</si>
  <si>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</si>
  <si>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</si>
  <si>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</si>
  <si>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</si>
  <si>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</si>
  <si>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</si>
  <si>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</si>
  <si>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</si>
  <si>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</si>
  <si>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</si>
  <si>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</si>
  <si>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</si>
  <si>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</si>
  <si>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</si>
  <si>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</si>
  <si>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</si>
  <si>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</si>
  <si>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</si>
  <si>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</si>
  <si>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</si>
  <si>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</si>
  <si>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</si>
  <si>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</si>
  <si>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</si>
  <si>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</si>
  <si>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</si>
  <si>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</si>
  <si>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</si>
  <si>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</si>
  <si>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</si>
  <si>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</si>
  <si>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</si>
  <si>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</si>
  <si>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</si>
  <si>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</si>
  <si>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</si>
  <si>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</si>
  <si>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</si>
  <si>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</si>
  <si>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</si>
  <si>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</si>
  <si>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</si>
  <si>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</si>
  <si>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</si>
  <si>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</si>
  <si>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</si>
  <si>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</si>
  <si>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</si>
  <si>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</si>
  <si>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</si>
  <si>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</si>
  <si>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</si>
  <si>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</si>
  <si>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</si>
  <si>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</si>
  <si>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</si>
  <si>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</si>
  <si>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</si>
  <si>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</si>
  <si>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</si>
  <si>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</si>
  <si>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</si>
  <si>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</si>
  <si>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</si>
  <si>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</si>
  <si>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</si>
  <si>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</si>
  <si>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</si>
  <si>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</si>
  <si>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</si>
  <si>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</si>
  <si>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</si>
  <si>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</si>
  <si>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</si>
  <si>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</si>
  <si>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</si>
  <si>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</si>
  <si>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</si>
  <si>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</si>
  <si>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</si>
  <si>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</si>
  <si>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</si>
  <si>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</si>
  <si>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</si>
  <si>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</si>
  <si>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</si>
  <si>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</si>
  <si>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</si>
  <si>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</si>
  <si>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</si>
  <si>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</si>
  <si>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</si>
  <si>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</si>
  <si>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</si>
  <si>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</si>
  <si>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</si>
  <si>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</si>
  <si>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</si>
  <si>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</si>
  <si>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</si>
  <si>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</si>
  <si>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</si>
  <si>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</si>
  <si>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</si>
  <si>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</si>
  <si>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</si>
  <si>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</si>
  <si>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</si>
  <si>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</si>
  <si>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</si>
  <si>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</si>
  <si>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</si>
  <si>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</si>
  <si>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</si>
  <si>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</si>
  <si>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</si>
  <si>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</si>
  <si>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</si>
  <si>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</si>
  <si>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</si>
  <si>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</si>
  <si>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</si>
  <si>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</si>
  <si>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</si>
  <si>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</si>
  <si>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</si>
  <si>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</si>
  <si>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</si>
  <si>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</si>
  <si>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</si>
  <si>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</si>
  <si>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</si>
  <si>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</si>
  <si>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</si>
  <si>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</si>
  <si>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</si>
  <si>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</si>
  <si>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</si>
  <si>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</si>
  <si>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</si>
  <si>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</si>
  <si>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</si>
  <si>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</si>
  <si>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</si>
  <si>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</si>
  <si>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</si>
  <si>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</si>
  <si>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</si>
  <si>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</si>
  <si>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</si>
  <si>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</si>
  <si>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</si>
  <si>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</si>
  <si>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</si>
  <si>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</si>
  <si>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</si>
  <si>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</si>
  <si>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</si>
  <si>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</si>
  <si>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</si>
  <si>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</si>
  <si>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</si>
  <si>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</si>
  <si>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</si>
  <si>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</si>
  <si>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</si>
  <si>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</si>
  <si>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</si>
  <si>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</si>
  <si>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</si>
  <si>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</si>
  <si>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</si>
  <si>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</si>
  <si>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</si>
  <si>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</si>
  <si>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</si>
  <si>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</si>
  <si>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</si>
  <si>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</si>
  <si>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</si>
  <si>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</si>
  <si>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</si>
  <si>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</si>
  <si>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</si>
  <si>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</si>
  <si>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</si>
  <si>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</si>
  <si>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</si>
  <si>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</si>
  <si>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</si>
  <si>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</si>
  <si>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</si>
  <si>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</si>
  <si>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</si>
  <si>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</si>
  <si>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</si>
  <si>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</si>
  <si>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</si>
  <si>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</si>
  <si>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</si>
  <si>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</si>
  <si>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</si>
  <si>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</si>
  <si>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</si>
  <si>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</si>
  <si>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</si>
  <si>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</si>
  <si>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</si>
  <si>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</si>
  <si>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</si>
  <si>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</si>
  <si>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</si>
  <si>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</si>
  <si>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</si>
  <si>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</si>
  <si>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</si>
  <si>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</si>
  <si>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</si>
  <si>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</si>
  <si>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</si>
  <si>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</si>
  <si>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</si>
  <si>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</si>
  <si>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</si>
  <si>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</si>
  <si>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</si>
  <si>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</si>
  <si>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</si>
  <si>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</si>
  <si>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</si>
  <si>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</si>
  <si>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</si>
  <si>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</si>
  <si>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</si>
  <si>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</si>
  <si>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</si>
  <si>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</si>
  <si>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</si>
  <si>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</si>
  <si>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</si>
  <si>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</si>
  <si>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</si>
  <si>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</si>
  <si>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</si>
  <si>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</si>
  <si>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</si>
  <si>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</si>
  <si>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</si>
  <si>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</si>
  <si>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</si>
  <si>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</si>
  <si>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</si>
  <si>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</si>
  <si>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</si>
  <si>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</si>
  <si>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</si>
  <si>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</si>
  <si>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</si>
  <si>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</si>
  <si>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</si>
  <si>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</si>
  <si>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</si>
  <si>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</si>
  <si>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</si>
  <si>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</si>
  <si>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</si>
  <si>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</si>
  <si>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</si>
  <si>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</si>
  <si>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</si>
  <si>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</si>
  <si>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</si>
  <si>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</si>
  <si>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</si>
  <si>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</si>
  <si>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</si>
  <si>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</si>
  <si>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</si>
  <si>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</si>
  <si>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</si>
  <si>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</si>
  <si>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</si>
  <si>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</si>
  <si>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</si>
  <si>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</si>
  <si>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</si>
  <si>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</si>
  <si>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</si>
  <si>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</si>
  <si>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</si>
  <si>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</si>
  <si>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</si>
  <si>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</si>
  <si>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</si>
  <si>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</si>
  <si>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</si>
  <si>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</si>
  <si>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</si>
  <si>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</si>
  <si>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</si>
  <si>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</si>
  <si>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</si>
  <si>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</si>
  <si>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</si>
  <si>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</si>
  <si>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</si>
  <si>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</si>
  <si>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</si>
  <si>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</si>
  <si>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</si>
  <si>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</si>
  <si>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</si>
  <si>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</si>
  <si>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</si>
  <si>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</si>
  <si>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</si>
  <si>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</si>
  <si>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</si>
  <si>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</si>
  <si>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</si>
  <si>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</si>
  <si>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</si>
  <si>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</si>
  <si>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</si>
  <si>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</si>
  <si>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</si>
  <si>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</si>
  <si>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</si>
  <si>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</si>
  <si>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</si>
  <si>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</si>
  <si>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</si>
  <si>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</si>
  <si>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</si>
  <si>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</si>
  <si>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</si>
  <si>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</si>
  <si>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</si>
  <si>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</si>
  <si>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</si>
  <si>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</si>
  <si>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</si>
  <si>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</si>
  <si>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</si>
  <si>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</si>
  <si>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</si>
  <si>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</si>
  <si>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</si>
  <si>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</si>
  <si>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</si>
  <si>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</si>
  <si>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</si>
  <si>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</si>
  <si>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</si>
  <si>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</si>
  <si>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</si>
  <si>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</si>
  <si>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</si>
  <si>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</si>
  <si>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</si>
  <si>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</si>
  <si>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</si>
  <si>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</si>
  <si>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</si>
  <si>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</si>
  <si>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</si>
  <si>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</si>
  <si>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</si>
  <si>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</si>
  <si>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</si>
  <si>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</si>
  <si>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</si>
  <si>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</si>
  <si>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</si>
  <si>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</si>
  <si>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</si>
  <si>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</si>
  <si>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</si>
  <si>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</si>
  <si>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</si>
  <si>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</si>
  <si>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</si>
  <si>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</si>
  <si>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</si>
  <si>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</si>
  <si>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</si>
  <si>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</si>
  <si>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</si>
  <si>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</si>
  <si>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</si>
  <si>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</si>
  <si>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</si>
  <si>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</si>
  <si>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</si>
  <si>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</si>
  <si>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</si>
  <si>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</si>
  <si>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</si>
  <si>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</si>
  <si>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</si>
  <si>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</si>
  <si>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</si>
  <si>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</si>
  <si>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</si>
  <si>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</si>
  <si>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</si>
  <si>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</si>
  <si>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</si>
  <si>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</si>
  <si>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</si>
  <si>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</si>
  <si>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</si>
  <si>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</si>
  <si>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</si>
  <si>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</si>
  <si>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</si>
  <si>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</si>
  <si>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</si>
  <si>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</si>
  <si>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</si>
  <si>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</si>
  <si>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</si>
  <si>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</si>
  <si>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</si>
  <si>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</si>
  <si>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</si>
  <si>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</si>
  <si>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</si>
  <si>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</si>
  <si>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</si>
  <si>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</si>
  <si>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</si>
  <si>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</si>
  <si>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</si>
  <si>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</si>
  <si>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</si>
  <si>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</si>
  <si>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</si>
  <si>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</si>
  <si>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</si>
  <si>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</si>
  <si>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</si>
  <si>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</si>
  <si>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</si>
  <si>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</si>
  <si>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</si>
  <si>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</si>
  <si>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</si>
  <si>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</si>
  <si>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</si>
  <si>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</si>
  <si>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</si>
  <si>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</si>
  <si>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</si>
  <si>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</si>
  <si>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</si>
  <si>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</si>
  <si>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</si>
  <si>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</si>
  <si>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</si>
  <si>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</si>
  <si>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</si>
  <si>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</si>
  <si>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</si>
  <si>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</si>
  <si>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</si>
  <si>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</si>
  <si>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</si>
  <si>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</si>
  <si>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</si>
  <si>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</si>
  <si>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</si>
  <si>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</si>
  <si>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</si>
  <si>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</si>
  <si>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</si>
  <si>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</si>
  <si>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</si>
  <si>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</si>
  <si>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</si>
  <si>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</si>
  <si>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</si>
  <si>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</si>
  <si>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</si>
  <si>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</si>
  <si>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</si>
  <si>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</si>
  <si>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</si>
  <si>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</si>
  <si>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</si>
  <si>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</si>
  <si>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</si>
  <si>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</si>
  <si>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</si>
  <si>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</si>
  <si>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</si>
  <si>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</si>
  <si>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</si>
  <si>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</si>
  <si>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</si>
  <si>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</si>
  <si>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</si>
  <si>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</si>
  <si>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</si>
  <si>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</si>
  <si>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</si>
  <si>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</si>
  <si>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</si>
  <si>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</si>
  <si>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</si>
  <si>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</si>
  <si>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</si>
  <si>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</si>
  <si>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</si>
  <si>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</si>
  <si>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</si>
  <si>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</si>
  <si>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</si>
  <si>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</si>
  <si>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</si>
  <si>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</si>
  <si>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</si>
  <si>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</si>
  <si>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</si>
  <si>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</si>
  <si>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</si>
  <si>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</si>
  <si>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</si>
  <si>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</si>
  <si>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</si>
  <si>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</si>
  <si>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</si>
  <si>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</si>
  <si>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</si>
  <si>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</si>
  <si>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</si>
  <si>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</si>
  <si>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</si>
  <si>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</si>
  <si>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</si>
  <si>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</si>
  <si>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</si>
  <si>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</si>
  <si>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</si>
  <si>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</si>
  <si>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</si>
  <si>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</si>
  <si>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</si>
  <si>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</si>
  <si>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</si>
  <si>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</si>
  <si>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</si>
  <si>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</si>
  <si>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</si>
  <si>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</si>
  <si>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</si>
  <si>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</si>
  <si>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</si>
  <si>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</si>
  <si>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</si>
  <si>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</si>
  <si>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</si>
  <si>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</si>
  <si>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</si>
  <si>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</si>
  <si>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</si>
  <si>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</si>
  <si>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</si>
  <si>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</si>
  <si>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</si>
  <si>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</si>
  <si>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</si>
  <si>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</si>
  <si>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</si>
  <si>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</si>
  <si>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</si>
  <si>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</si>
  <si>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</si>
  <si>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</si>
  <si>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</si>
  <si>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</si>
  <si>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</si>
  <si>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</si>
  <si>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</si>
  <si>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</si>
  <si>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</si>
  <si>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</si>
  <si>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</si>
  <si>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</si>
  <si>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</si>
  <si>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</si>
  <si>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</si>
  <si>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</si>
  <si>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</si>
  <si>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</si>
  <si>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</si>
  <si>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</si>
  <si>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</si>
  <si>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</si>
  <si>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</si>
  <si>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</si>
  <si>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</si>
  <si>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</si>
  <si>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</si>
  <si>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</si>
  <si>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</si>
  <si>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</si>
  <si>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</si>
  <si>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</si>
  <si>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</si>
  <si>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</si>
  <si>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</si>
  <si>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</si>
  <si>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</si>
  <si>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</si>
  <si>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</si>
  <si>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</si>
  <si>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</si>
  <si>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</si>
  <si>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</si>
  <si>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</si>
  <si>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</si>
  <si>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</si>
  <si>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</si>
  <si>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</si>
  <si>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</si>
  <si>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</si>
  <si>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</si>
  <si>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</si>
  <si>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</si>
  <si>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</si>
  <si>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</si>
  <si>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</si>
  <si>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</si>
  <si>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</si>
  <si>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</si>
  <si>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</si>
  <si>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</si>
  <si>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</si>
  <si>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</si>
  <si>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</si>
  <si>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</si>
  <si>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</si>
  <si>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</si>
  <si>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</si>
  <si>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</si>
  <si>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</si>
  <si>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</si>
  <si>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</si>
  <si>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</si>
  <si>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</si>
  <si>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</si>
  <si>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</si>
  <si>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</si>
  <si>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</si>
  <si>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</si>
  <si>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</si>
  <si>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</si>
  <si>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</si>
  <si>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</si>
  <si>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</si>
  <si>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</si>
  <si>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</si>
  <si>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</si>
  <si>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</si>
  <si>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</si>
  <si>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</si>
  <si>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</si>
  <si>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</si>
  <si>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</si>
  <si>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</si>
  <si>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</si>
  <si>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</si>
  <si>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</si>
  <si>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</si>
  <si>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</si>
  <si>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</si>
  <si>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</si>
  <si>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</si>
  <si>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</si>
  <si>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</si>
  <si>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</si>
  <si>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</si>
  <si>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</si>
  <si>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</si>
  <si>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</si>
  <si>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</si>
  <si>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</si>
  <si>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OK OK OK</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</si>
  <si>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</si>
  <si>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</si>
  <si>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</si>
  <si>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</si>
  <si>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</si>
  <si>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</si>
  <si>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</si>
  <si>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</si>
  <si>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12% (2)</t>
  </si>
  <si>
    <t>ACPM Base para Mezcla al 2% (1)</t>
  </si>
  <si>
    <t>Sobretasa (5)</t>
  </si>
  <si>
    <t>(5) Este valor asociado a la sobretasa a los combustibles, no será considerado en la estructura de precios, teniendo en cuenta que, de un lado, la tabla contiene valores indicativos que tendrán aplicación a partir del 23 de junio y, de otro lado, al momento de la redacción y expedición de la publicación NO se ha promulgado una nueva ley que regule la base gravable de la sobretasa a la gasolina y al ACPMDiesel. Con la promulgación de una nueva Ley, dicho tributo podrá ser nuevamente incluido en la estructura de precios de los combustibles</t>
  </si>
  <si>
    <t xml:space="preserve">OK </t>
  </si>
  <si>
    <t>OK  OK OK</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</si>
  <si>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</si>
  <si>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</si>
  <si>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</si>
  <si>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EN CERO</t>
  </si>
  <si>
    <t>PRE-GRE-REAL-BIODIESEL B2B EXTRA NACIONAL 1ZPRB - LIS_GRE_REGULADOS MME 2016</t>
  </si>
  <si>
    <t>Vigencia: 30 de Junio de 2021 al 09 de Julio de 2021 o hasta el momento en que el MME lo determine</t>
  </si>
  <si>
    <t>01 DE JULIO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</si>
</sst>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_-&quot;$&quot;\ * #,##0.00_-;\-&quot;$&quot;\ * #,##0.00_-;_-&quot;$&quot;\ * &quot;-&quot;_-;_-@_-"/>
    <numFmt numFmtId="178" formatCode="0.0"/>
    <numFmt numFmtId="179" formatCode="_-&quot;$&quot;\ * #,##0_-;\-&quot;$&quot;\ * #,##0_-;_-&quot;$&quot;\ * &quot;-&quot;??_-;_-@_-"/>
    <numFmt numFmtId="180" formatCode="_-* #,##0.0_-;\-* #,##0.0_-;_-* &quot;-&quot;??_-;_-@_-"/>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5">
    <xf numFmtId="0" fontId="0" fillId="0" borderId="0"/>
    <xf numFmtId="0" fontId="19" fillId="0" borderId="0"/>
    <xf numFmtId="0" fontId="20" fillId="0" borderId="0"/>
    <xf numFmtId="0" fontId="19" fillId="0" borderId="0"/>
    <xf numFmtId="0" fontId="20" fillId="0" borderId="0"/>
    <xf numFmtId="0" fontId="21" fillId="0" borderId="0">
      <protection locked="0"/>
    </xf>
    <xf numFmtId="0" fontId="22"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43" fontId="18" fillId="0" borderId="0" applyFont="0" applyFill="0" applyBorder="0" applyAlignment="0" applyProtection="0"/>
    <xf numFmtId="0" fontId="18" fillId="0" borderId="0" applyFont="0" applyFill="0" applyBorder="0" applyAlignment="0" applyProtection="0"/>
    <xf numFmtId="0" fontId="21" fillId="0" borderId="0">
      <protection locked="0"/>
    </xf>
    <xf numFmtId="37" fontId="23" fillId="0" borderId="0"/>
    <xf numFmtId="0" fontId="18" fillId="0" borderId="0"/>
    <xf numFmtId="0" fontId="18" fillId="0" borderId="0"/>
    <xf numFmtId="0" fontId="39" fillId="0" borderId="0"/>
    <xf numFmtId="166" fontId="28" fillId="0" borderId="0"/>
    <xf numFmtId="9" fontId="18" fillId="0" borderId="0" applyFont="0" applyFill="0" applyBorder="0" applyAlignment="0" applyProtection="0"/>
    <xf numFmtId="9" fontId="18" fillId="0" borderId="0" applyFont="0" applyFill="0" applyBorder="0" applyAlignment="0" applyProtection="0"/>
    <xf numFmtId="166" fontId="25" fillId="0" borderId="0">
      <alignment horizontal="left"/>
    </xf>
    <xf numFmtId="38" fontId="24" fillId="0" borderId="0"/>
    <xf numFmtId="0" fontId="21" fillId="0" borderId="1">
      <protection locked="0"/>
    </xf>
    <xf numFmtId="0" fontId="17" fillId="0" borderId="0"/>
    <xf numFmtId="41" fontId="96" fillId="0" borderId="0" applyFont="0" applyFill="0" applyBorder="0" applyAlignment="0" applyProtection="0"/>
    <xf numFmtId="42" fontId="102" fillId="0" borderId="0" applyFont="0" applyFill="0" applyBorder="0" applyAlignment="0" applyProtection="0"/>
    <xf numFmtId="0" fontId="109" fillId="0" borderId="0" applyNumberFormat="0" applyFill="0" applyBorder="0" applyAlignment="0" applyProtection="0"/>
    <xf numFmtId="44" fontId="118" fillId="0" borderId="0" applyFont="0" applyFill="0" applyBorder="0" applyAlignment="0" applyProtection="0"/>
  </cellStyleXfs>
  <cellXfs count="874">
    <xf numFmtId="0" fontId="0" fillId="0" borderId="0" xfId="0"/>
    <xf numFmtId="0" fontId="52" fillId="2" borderId="0" xfId="0" applyFont="1" applyFill="1" applyAlignment="1" applyProtection="1">
      <alignment vertical="center"/>
      <protection hidden="1"/>
    </xf>
    <xf numFmtId="0" fontId="29" fillId="2" borderId="0" xfId="0" applyFont="1" applyFill="1" applyAlignment="1" applyProtection="1">
      <alignment vertical="center"/>
      <protection hidden="1"/>
    </xf>
    <xf numFmtId="164" fontId="29" fillId="2" borderId="0" xfId="0" applyNumberFormat="1" applyFont="1" applyFill="1" applyAlignment="1" applyProtection="1">
      <alignment vertical="center"/>
      <protection hidden="1"/>
    </xf>
    <xf numFmtId="2" fontId="29" fillId="2" borderId="0" xfId="0" applyNumberFormat="1" applyFont="1" applyFill="1" applyAlignment="1" applyProtection="1">
      <alignment vertical="center"/>
      <protection hidden="1"/>
    </xf>
    <xf numFmtId="0" fontId="29" fillId="0" borderId="0" xfId="0" applyFont="1" applyBorder="1" applyAlignment="1" applyProtection="1">
      <alignment vertical="center"/>
      <protection hidden="1"/>
    </xf>
    <xf numFmtId="0" fontId="29" fillId="12" borderId="0" xfId="0" applyFont="1" applyFill="1" applyBorder="1" applyAlignment="1" applyProtection="1">
      <alignment vertical="center"/>
      <protection hidden="1"/>
    </xf>
    <xf numFmtId="0" fontId="30" fillId="2" borderId="0" xfId="0" applyFont="1" applyFill="1" applyAlignment="1" applyProtection="1">
      <alignment vertical="center"/>
      <protection hidden="1"/>
    </xf>
    <xf numFmtId="0" fontId="30"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9" fillId="0" borderId="0" xfId="0" applyFont="1" applyAlignment="1" applyProtection="1">
      <alignment vertical="center"/>
      <protection hidden="1"/>
    </xf>
    <xf numFmtId="0" fontId="30" fillId="0" borderId="0" xfId="0" applyFont="1" applyBorder="1" applyAlignment="1" applyProtection="1">
      <alignment horizontal="left" vertical="center" wrapText="1"/>
      <protection hidden="1"/>
    </xf>
    <xf numFmtId="43" fontId="30" fillId="2" borderId="0" xfId="17" applyFont="1" applyFill="1" applyBorder="1" applyAlignment="1" applyProtection="1">
      <alignment vertical="center" wrapText="1"/>
      <protection hidden="1"/>
    </xf>
    <xf numFmtId="0" fontId="29" fillId="12" borderId="0" xfId="0" applyFont="1" applyFill="1" applyAlignment="1" applyProtection="1">
      <alignment vertical="center"/>
      <protection hidden="1"/>
    </xf>
    <xf numFmtId="0" fontId="26"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30" fillId="2" borderId="0" xfId="0" applyFont="1" applyFill="1" applyBorder="1" applyAlignment="1" applyProtection="1">
      <alignment horizontal="left" vertical="center" wrapText="1"/>
      <protection hidden="1"/>
    </xf>
    <xf numFmtId="43" fontId="30" fillId="2" borderId="0" xfId="17" applyNumberFormat="1" applyFont="1" applyFill="1" applyBorder="1" applyAlignment="1" applyProtection="1">
      <alignment vertical="center" wrapText="1"/>
      <protection hidden="1"/>
    </xf>
    <xf numFmtId="43" fontId="30"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0" fillId="0" borderId="0" xfId="0" applyFont="1" applyAlignment="1" applyProtection="1">
      <alignment horizontal="center" vertical="center"/>
      <protection hidden="1"/>
    </xf>
    <xf numFmtId="4" fontId="29" fillId="2" borderId="35" xfId="0" applyNumberFormat="1" applyFont="1" applyFill="1" applyBorder="1" applyAlignment="1" applyProtection="1">
      <alignment horizontal="right" vertical="center"/>
      <protection hidden="1"/>
    </xf>
    <xf numFmtId="4" fontId="29" fillId="2" borderId="0" xfId="0" applyNumberFormat="1" applyFont="1" applyFill="1" applyBorder="1" applyAlignment="1" applyProtection="1">
      <alignment horizontal="right" vertical="center"/>
      <protection hidden="1"/>
    </xf>
    <xf numFmtId="166" fontId="54" fillId="2" borderId="0" xfId="24"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54" fillId="5" borderId="32" xfId="0" quotePrefix="1" applyFont="1" applyFill="1" applyBorder="1" applyAlignment="1" applyProtection="1">
      <alignment horizontal="left" vertical="center" wrapText="1"/>
      <protection hidden="1"/>
    </xf>
    <xf numFmtId="4" fontId="29" fillId="2" borderId="0" xfId="0" applyNumberFormat="1" applyFont="1" applyFill="1" applyAlignment="1" applyProtection="1">
      <alignment vertical="center"/>
      <protection hidden="1"/>
    </xf>
    <xf numFmtId="4" fontId="29" fillId="2" borderId="37" xfId="0" applyNumberFormat="1" applyFont="1" applyFill="1" applyBorder="1" applyAlignment="1" applyProtection="1">
      <alignment horizontal="right" vertical="center"/>
      <protection hidden="1"/>
    </xf>
    <xf numFmtId="0" fontId="50" fillId="2" borderId="0" xfId="0" applyFont="1" applyFill="1" applyAlignment="1" applyProtection="1">
      <alignment horizontal="fill" vertical="center" wrapText="1"/>
      <protection hidden="1"/>
    </xf>
    <xf numFmtId="0" fontId="29"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4" fontId="54" fillId="5" borderId="31" xfId="0" applyNumberFormat="1" applyFont="1" applyFill="1" applyBorder="1" applyAlignment="1" applyProtection="1">
      <alignment horizontal="right" vertical="center"/>
      <protection hidden="1"/>
    </xf>
    <xf numFmtId="4" fontId="54" fillId="5" borderId="36" xfId="0" applyNumberFormat="1" applyFont="1" applyFill="1" applyBorder="1" applyAlignment="1" applyProtection="1">
      <alignment horizontal="right" vertical="center"/>
      <protection hidden="1"/>
    </xf>
    <xf numFmtId="166" fontId="54" fillId="2" borderId="0" xfId="24" quotePrefix="1"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4" fillId="2" borderId="0" xfId="0" applyFont="1" applyFill="1" applyBorder="1" applyAlignment="1" applyProtection="1">
      <alignment horizontal="centerContinuous" vertical="center"/>
      <protection hidden="1"/>
    </xf>
    <xf numFmtId="0" fontId="30" fillId="2" borderId="0" xfId="0" applyFont="1" applyFill="1" applyAlignment="1" applyProtection="1">
      <alignment horizontal="left" vertical="center"/>
      <protection hidden="1"/>
    </xf>
    <xf numFmtId="0" fontId="54" fillId="5" borderId="34" xfId="0" quotePrefix="1" applyFont="1" applyFill="1" applyBorder="1" applyAlignment="1" applyProtection="1">
      <alignment horizontal="left" vertical="center" wrapText="1"/>
      <protection hidden="1"/>
    </xf>
    <xf numFmtId="4" fontId="54" fillId="5" borderId="37" xfId="0" applyNumberFormat="1" applyFont="1" applyFill="1" applyBorder="1" applyAlignment="1" applyProtection="1">
      <alignment horizontal="right" vertical="center"/>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52" fillId="6" borderId="38" xfId="0" applyFont="1" applyFill="1" applyBorder="1" applyAlignment="1" applyProtection="1">
      <alignment horizontal="center" vertical="center"/>
      <protection hidden="1"/>
    </xf>
    <xf numFmtId="17" fontId="52" fillId="6" borderId="40" xfId="0" applyNumberFormat="1" applyFont="1" applyFill="1" applyBorder="1" applyAlignment="1" applyProtection="1">
      <alignment horizontal="center" vertical="center" wrapText="1"/>
      <protection hidden="1"/>
    </xf>
    <xf numFmtId="0" fontId="38" fillId="0" borderId="0" xfId="0" quotePrefix="1" applyFont="1" applyFill="1" applyAlignment="1" applyProtection="1">
      <alignment horizontal="left" vertical="center"/>
      <protection hidden="1"/>
    </xf>
    <xf numFmtId="0" fontId="29"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29" fillId="0" borderId="0" xfId="0" applyFont="1" applyBorder="1" applyAlignment="1" applyProtection="1">
      <alignment horizontal="center" vertical="center"/>
      <protection hidden="1"/>
    </xf>
    <xf numFmtId="0" fontId="29" fillId="12" borderId="0" xfId="0" applyFont="1" applyFill="1" applyBorder="1" applyAlignment="1" applyProtection="1">
      <alignment horizontal="center" vertical="center"/>
      <protection hidden="1"/>
    </xf>
    <xf numFmtId="0" fontId="29" fillId="2" borderId="34" xfId="0" quotePrefix="1" applyFont="1" applyFill="1" applyBorder="1" applyAlignment="1" applyProtection="1">
      <alignment horizontal="left" vertical="center" wrapText="1"/>
      <protection hidden="1"/>
    </xf>
    <xf numFmtId="0" fontId="50" fillId="0" borderId="0" xfId="0" applyFont="1" applyFill="1" applyBorder="1" applyAlignment="1" applyProtection="1">
      <alignment vertical="center"/>
      <protection hidden="1"/>
    </xf>
    <xf numFmtId="0" fontId="51" fillId="5" borderId="41" xfId="0" applyFont="1" applyFill="1" applyBorder="1" applyAlignment="1" applyProtection="1">
      <alignment horizontal="center" vertical="center" wrapText="1"/>
      <protection hidden="1"/>
    </xf>
    <xf numFmtId="0" fontId="30" fillId="0" borderId="42" xfId="0" applyFont="1" applyBorder="1" applyAlignment="1" applyProtection="1">
      <alignment horizontal="left" vertical="center" wrapText="1"/>
      <protection hidden="1"/>
    </xf>
    <xf numFmtId="2" fontId="53" fillId="0" borderId="41" xfId="0"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vertical="center" wrapText="1"/>
      <protection hidden="1"/>
    </xf>
    <xf numFmtId="2" fontId="30" fillId="0" borderId="41" xfId="0" quotePrefix="1"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horizontal="right" vertical="center" wrapText="1"/>
      <protection hidden="1"/>
    </xf>
    <xf numFmtId="0" fontId="30" fillId="0" borderId="43" xfId="0" applyFont="1" applyBorder="1" applyAlignment="1" applyProtection="1">
      <alignment horizontal="left" vertical="center" wrapText="1"/>
      <protection hidden="1"/>
    </xf>
    <xf numFmtId="2" fontId="53" fillId="0" borderId="44" xfId="0" applyNumberFormat="1" applyFont="1" applyFill="1" applyBorder="1" applyAlignment="1" applyProtection="1">
      <alignment horizontal="right" vertical="center" wrapText="1"/>
      <protection hidden="1"/>
    </xf>
    <xf numFmtId="43" fontId="30" fillId="0" borderId="45" xfId="17" applyFont="1" applyFill="1" applyBorder="1" applyAlignment="1" applyProtection="1">
      <alignment vertical="center" wrapText="1"/>
      <protection hidden="1"/>
    </xf>
    <xf numFmtId="0" fontId="30" fillId="0" borderId="46" xfId="0" applyFont="1" applyBorder="1" applyAlignment="1" applyProtection="1">
      <alignment horizontal="left" vertical="center" wrapText="1"/>
      <protection hidden="1"/>
    </xf>
    <xf numFmtId="15" fontId="52" fillId="5" borderId="44" xfId="0" quotePrefix="1" applyNumberFormat="1" applyFont="1" applyFill="1" applyBorder="1" applyAlignment="1" applyProtection="1">
      <alignment horizontal="center" vertical="center" wrapText="1"/>
      <protection hidden="1"/>
    </xf>
    <xf numFmtId="15" fontId="52" fillId="5" borderId="47" xfId="0" quotePrefix="1" applyNumberFormat="1" applyFont="1" applyFill="1" applyBorder="1" applyAlignment="1" applyProtection="1">
      <alignment horizontal="center" vertical="center" wrapText="1"/>
      <protection hidden="1"/>
    </xf>
    <xf numFmtId="0" fontId="30" fillId="0" borderId="42" xfId="0" applyFont="1" applyFill="1" applyBorder="1" applyAlignment="1" applyProtection="1">
      <alignment horizontal="left" vertical="center" wrapText="1"/>
      <protection hidden="1"/>
    </xf>
    <xf numFmtId="43" fontId="30" fillId="0" borderId="45" xfId="17" applyFont="1" applyFill="1" applyBorder="1" applyAlignment="1" applyProtection="1">
      <alignment horizontal="right" vertical="center" wrapText="1"/>
      <protection hidden="1"/>
    </xf>
    <xf numFmtId="0" fontId="29" fillId="0" borderId="41" xfId="0" applyFont="1" applyFill="1" applyBorder="1" applyAlignment="1" applyProtection="1">
      <alignment vertical="center"/>
      <protection hidden="1"/>
    </xf>
    <xf numFmtId="0" fontId="30" fillId="0" borderId="43" xfId="0" applyFont="1" applyFill="1" applyBorder="1" applyAlignment="1" applyProtection="1">
      <alignment horizontal="left" vertical="center" wrapText="1"/>
      <protection hidden="1"/>
    </xf>
    <xf numFmtId="43" fontId="30" fillId="0" borderId="44" xfId="17" applyFont="1" applyFill="1" applyBorder="1" applyAlignment="1" applyProtection="1">
      <alignment horizontal="right" vertical="center" wrapText="1"/>
      <protection hidden="1"/>
    </xf>
    <xf numFmtId="43" fontId="30" fillId="0" borderId="47" xfId="17" applyFont="1" applyFill="1" applyBorder="1" applyAlignment="1" applyProtection="1">
      <alignment horizontal="right" vertical="center" wrapText="1"/>
      <protection hidden="1"/>
    </xf>
    <xf numFmtId="0" fontId="30" fillId="0" borderId="46" xfId="0" applyFont="1" applyFill="1" applyBorder="1" applyAlignment="1" applyProtection="1">
      <alignment horizontal="left" vertical="center" wrapText="1"/>
      <protection hidden="1"/>
    </xf>
    <xf numFmtId="0" fontId="29" fillId="0" borderId="0" xfId="0" applyFont="1" applyFill="1" applyAlignment="1" applyProtection="1">
      <alignment vertical="center"/>
      <protection hidden="1"/>
    </xf>
    <xf numFmtId="0" fontId="29" fillId="0" borderId="0" xfId="0" applyFont="1" applyFill="1" applyAlignment="1" applyProtection="1">
      <alignment horizontal="left" vertical="center" wrapText="1"/>
      <protection hidden="1"/>
    </xf>
    <xf numFmtId="0" fontId="57" fillId="5" borderId="49" xfId="0" applyFont="1" applyFill="1" applyBorder="1" applyAlignment="1" applyProtection="1">
      <alignment horizontal="center" vertical="center" wrapText="1"/>
      <protection hidden="1"/>
    </xf>
    <xf numFmtId="0" fontId="51" fillId="16" borderId="49" xfId="0" applyFont="1" applyFill="1" applyBorder="1" applyAlignment="1" applyProtection="1">
      <alignment horizontal="center" vertical="center" wrapText="1"/>
      <protection hidden="1"/>
    </xf>
    <xf numFmtId="9" fontId="52" fillId="5" borderId="49" xfId="0" quotePrefix="1" applyNumberFormat="1" applyFont="1" applyFill="1" applyBorder="1" applyAlignment="1" applyProtection="1">
      <alignment horizontal="center" vertical="center" wrapText="1"/>
      <protection hidden="1"/>
    </xf>
    <xf numFmtId="9" fontId="52" fillId="16" borderId="49" xfId="0" quotePrefix="1" applyNumberFormat="1" applyFont="1" applyFill="1" applyBorder="1" applyAlignment="1" applyProtection="1">
      <alignment horizontal="center" vertical="center" wrapText="1"/>
      <protection hidden="1"/>
    </xf>
    <xf numFmtId="43" fontId="30" fillId="13"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vertical="center" wrapText="1"/>
      <protection hidden="1"/>
    </xf>
    <xf numFmtId="43" fontId="30" fillId="2" borderId="49" xfId="17" applyNumberFormat="1" applyFont="1" applyFill="1" applyBorder="1" applyAlignment="1" applyProtection="1">
      <alignment horizontal="center" vertical="center" wrapText="1"/>
      <protection hidden="1"/>
    </xf>
    <xf numFmtId="0" fontId="30" fillId="0" borderId="50" xfId="0" applyFont="1" applyBorder="1" applyAlignment="1" applyProtection="1">
      <alignment horizontal="left" vertical="center" wrapText="1"/>
      <protection hidden="1"/>
    </xf>
    <xf numFmtId="43" fontId="30" fillId="2" borderId="51" xfId="17" applyFont="1" applyFill="1" applyBorder="1" applyAlignment="1" applyProtection="1">
      <alignment horizontal="center" vertical="center" wrapText="1"/>
      <protection hidden="1"/>
    </xf>
    <xf numFmtId="43" fontId="30" fillId="13" borderId="51" xfId="17" applyFont="1" applyFill="1" applyBorder="1" applyAlignment="1" applyProtection="1">
      <alignment horizontal="center" vertical="center" wrapText="1"/>
      <protection hidden="1"/>
    </xf>
    <xf numFmtId="43" fontId="31" fillId="0" borderId="41" xfId="17" applyFont="1" applyFill="1" applyBorder="1" applyAlignment="1" applyProtection="1">
      <alignment vertical="center" wrapText="1"/>
      <protection hidden="1"/>
    </xf>
    <xf numFmtId="43" fontId="30" fillId="0" borderId="52"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53" xfId="0" applyFont="1" applyFill="1" applyBorder="1" applyAlignment="1" applyProtection="1">
      <alignment horizontal="center" vertical="center" wrapText="1"/>
      <protection hidden="1"/>
    </xf>
    <xf numFmtId="0" fontId="52" fillId="6" borderId="54" xfId="0" applyFont="1" applyFill="1" applyBorder="1" applyAlignment="1" applyProtection="1">
      <alignment horizontal="center" vertical="center" wrapText="1"/>
      <protection hidden="1"/>
    </xf>
    <xf numFmtId="0" fontId="52" fillId="6" borderId="55" xfId="0" applyFont="1" applyFill="1" applyBorder="1" applyAlignment="1" applyProtection="1">
      <alignment horizontal="center" vertical="center" wrapText="1"/>
      <protection hidden="1"/>
    </xf>
    <xf numFmtId="4" fontId="29" fillId="0" borderId="42" xfId="0" applyNumberFormat="1" applyFont="1" applyBorder="1" applyAlignment="1" applyProtection="1">
      <alignment vertical="center"/>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0" fontId="29" fillId="0" borderId="42" xfId="0" applyFont="1" applyBorder="1" applyAlignment="1" applyProtection="1">
      <alignment horizontal="left" vertical="center" wrapText="1"/>
      <protection hidden="1"/>
    </xf>
    <xf numFmtId="4" fontId="29" fillId="0" borderId="41" xfId="0" applyNumberFormat="1" applyFont="1" applyBorder="1" applyAlignment="1" applyProtection="1">
      <alignment horizontal="center" vertical="center"/>
      <protection hidden="1"/>
    </xf>
    <xf numFmtId="4" fontId="29" fillId="0" borderId="45" xfId="0" applyNumberFormat="1" applyFont="1" applyBorder="1" applyAlignment="1" applyProtection="1">
      <alignment horizontal="center" vertical="center"/>
      <protection hidden="1"/>
    </xf>
    <xf numFmtId="4" fontId="51" fillId="17" borderId="42" xfId="0" applyNumberFormat="1" applyFont="1" applyFill="1" applyBorder="1" applyAlignment="1" applyProtection="1">
      <alignment horizontal="left" vertical="center" wrapText="1"/>
      <protection hidden="1"/>
    </xf>
    <xf numFmtId="4" fontId="51" fillId="17" borderId="41" xfId="0" applyNumberFormat="1" applyFont="1" applyFill="1" applyBorder="1" applyAlignment="1" applyProtection="1">
      <alignment horizontal="center" vertical="center" wrapText="1"/>
      <protection hidden="1"/>
    </xf>
    <xf numFmtId="4" fontId="51" fillId="17" borderId="45" xfId="0" applyNumberFormat="1" applyFont="1" applyFill="1" applyBorder="1" applyAlignment="1" applyProtection="1">
      <alignment horizontal="center" vertical="center" wrapText="1"/>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4" fontId="29" fillId="0" borderId="43" xfId="0" applyNumberFormat="1" applyFont="1" applyBorder="1" applyAlignment="1" applyProtection="1">
      <alignment vertical="center"/>
      <protection hidden="1"/>
    </xf>
    <xf numFmtId="4" fontId="30" fillId="0" borderId="44" xfId="0" applyNumberFormat="1" applyFont="1" applyFill="1" applyBorder="1" applyAlignment="1" applyProtection="1">
      <alignment horizontal="center" vertical="center"/>
      <protection hidden="1"/>
    </xf>
    <xf numFmtId="4" fontId="30" fillId="0" borderId="47" xfId="0" applyNumberFormat="1" applyFont="1" applyFill="1" applyBorder="1" applyAlignment="1" applyProtection="1">
      <alignment horizontal="center" vertical="center"/>
      <protection hidden="1"/>
    </xf>
    <xf numFmtId="4" fontId="29" fillId="0" borderId="46" xfId="0" applyNumberFormat="1" applyFont="1" applyBorder="1" applyAlignment="1" applyProtection="1">
      <alignment vertical="center"/>
      <protection hidden="1"/>
    </xf>
    <xf numFmtId="4" fontId="29" fillId="0" borderId="52" xfId="0" applyNumberFormat="1" applyFont="1" applyFill="1" applyBorder="1" applyAlignment="1" applyProtection="1">
      <alignment horizontal="center" vertical="center"/>
      <protection hidden="1"/>
    </xf>
    <xf numFmtId="4" fontId="29" fillId="0" borderId="48" xfId="0" applyNumberFormat="1" applyFont="1" applyFill="1" applyBorder="1" applyAlignment="1" applyProtection="1">
      <alignment horizontal="center" vertical="center"/>
      <protection hidden="1"/>
    </xf>
    <xf numFmtId="15" fontId="52" fillId="5" borderId="43" xfId="0" quotePrefix="1" applyNumberFormat="1" applyFont="1" applyFill="1" applyBorder="1" applyAlignment="1" applyProtection="1">
      <alignment horizontal="center" vertical="center" wrapText="1"/>
      <protection hidden="1"/>
    </xf>
    <xf numFmtId="0" fontId="29" fillId="0" borderId="42" xfId="0" applyFont="1" applyBorder="1" applyAlignment="1" applyProtection="1">
      <alignment vertical="center"/>
      <protection hidden="1"/>
    </xf>
    <xf numFmtId="0" fontId="52" fillId="6" borderId="53" xfId="0" applyFont="1" applyFill="1" applyBorder="1" applyAlignment="1" applyProtection="1">
      <alignment horizontal="center" vertical="center"/>
      <protection hidden="1"/>
    </xf>
    <xf numFmtId="4" fontId="29" fillId="0" borderId="45" xfId="0" applyNumberFormat="1" applyFont="1" applyFill="1" applyBorder="1" applyAlignment="1" applyProtection="1">
      <alignment vertical="center"/>
      <protection hidden="1"/>
    </xf>
    <xf numFmtId="0" fontId="29" fillId="12" borderId="42" xfId="0" quotePrefix="1" applyFont="1" applyFill="1" applyBorder="1" applyAlignment="1" applyProtection="1">
      <alignment horizontal="left" vertical="center"/>
      <protection hidden="1"/>
    </xf>
    <xf numFmtId="43" fontId="30" fillId="0" borderId="41" xfId="17" applyNumberFormat="1" applyFont="1" applyFill="1" applyBorder="1" applyAlignment="1" applyProtection="1">
      <alignment horizontal="right" vertical="center" wrapText="1"/>
      <protection hidden="1"/>
    </xf>
    <xf numFmtId="167" fontId="30" fillId="13" borderId="49" xfId="17" applyNumberFormat="1" applyFont="1" applyFill="1" applyBorder="1" applyAlignment="1" applyProtection="1">
      <alignment horizontal="center" vertical="center" wrapText="1"/>
      <protection hidden="1"/>
    </xf>
    <xf numFmtId="167" fontId="30" fillId="0" borderId="56" xfId="17" applyNumberFormat="1" applyFont="1" applyBorder="1" applyAlignment="1" applyProtection="1">
      <alignment horizontal="left" vertical="center" wrapText="1"/>
      <protection hidden="1"/>
    </xf>
    <xf numFmtId="167" fontId="30" fillId="13" borderId="57" xfId="17" applyNumberFormat="1" applyFont="1" applyFill="1" applyBorder="1" applyAlignment="1" applyProtection="1">
      <alignment horizontal="center" vertical="center" wrapText="1"/>
      <protection hidden="1"/>
    </xf>
    <xf numFmtId="167" fontId="29" fillId="12" borderId="0" xfId="17" applyNumberFormat="1" applyFont="1" applyFill="1" applyBorder="1" applyAlignment="1" applyProtection="1">
      <alignment horizontal="center" vertical="center"/>
      <protection hidden="1"/>
    </xf>
    <xf numFmtId="167" fontId="29" fillId="0" borderId="0" xfId="17" applyNumberFormat="1" applyFont="1" applyBorder="1" applyAlignment="1" applyProtection="1">
      <alignment horizontal="center" vertical="center"/>
      <protection hidden="1"/>
    </xf>
    <xf numFmtId="167" fontId="30" fillId="0" borderId="58" xfId="17" applyNumberFormat="1" applyFont="1" applyBorder="1" applyAlignment="1" applyProtection="1">
      <alignment horizontal="left" vertical="center" wrapText="1"/>
      <protection hidden="1"/>
    </xf>
    <xf numFmtId="167" fontId="30" fillId="2" borderId="49" xfId="17" applyNumberFormat="1" applyFont="1" applyFill="1" applyBorder="1" applyAlignment="1" applyProtection="1">
      <alignment horizontal="center" vertical="center" wrapText="1"/>
      <protection hidden="1"/>
    </xf>
    <xf numFmtId="167" fontId="30" fillId="0"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wrapText="1"/>
      <protection hidden="1"/>
    </xf>
    <xf numFmtId="43" fontId="30" fillId="0" borderId="58" xfId="17" applyNumberFormat="1" applyFont="1" applyBorder="1" applyAlignment="1" applyProtection="1">
      <alignment horizontal="left" vertical="center" wrapText="1"/>
      <protection hidden="1"/>
    </xf>
    <xf numFmtId="43" fontId="29" fillId="12" borderId="0" xfId="17" applyNumberFormat="1" applyFont="1" applyFill="1" applyBorder="1" applyAlignment="1" applyProtection="1">
      <alignment horizontal="center" vertical="center"/>
      <protection hidden="1"/>
    </xf>
    <xf numFmtId="43" fontId="29" fillId="0" borderId="0" xfId="17" applyNumberFormat="1" applyFont="1" applyBorder="1" applyAlignment="1" applyProtection="1">
      <alignment horizontal="center" vertical="center"/>
      <protection hidden="1"/>
    </xf>
    <xf numFmtId="4" fontId="29" fillId="12" borderId="42" xfId="0" applyNumberFormat="1" applyFont="1" applyFill="1" applyBorder="1" applyAlignment="1" applyProtection="1">
      <alignment vertical="center" wrapText="1"/>
      <protection hidden="1"/>
    </xf>
    <xf numFmtId="0" fontId="29"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18"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29" fillId="0" borderId="3" xfId="23" applyNumberFormat="1" applyFont="1" applyBorder="1" applyProtection="1"/>
    <xf numFmtId="37" fontId="29" fillId="0" borderId="4" xfId="23" applyNumberFormat="1" applyFont="1" applyBorder="1" applyProtection="1"/>
    <xf numFmtId="37" fontId="29" fillId="7" borderId="4" xfId="23" applyNumberFormat="1" applyFont="1" applyFill="1" applyBorder="1" applyProtection="1"/>
    <xf numFmtId="0" fontId="27" fillId="0" borderId="5" xfId="23" applyNumberFormat="1" applyFont="1" applyBorder="1" applyAlignment="1" applyProtection="1">
      <alignment horizontal="center"/>
    </xf>
    <xf numFmtId="4" fontId="18" fillId="3" borderId="5" xfId="21" applyNumberFormat="1" applyFill="1" applyBorder="1"/>
    <xf numFmtId="4" fontId="18" fillId="0" borderId="6" xfId="21" applyNumberFormat="1" applyBorder="1"/>
    <xf numFmtId="4" fontId="18" fillId="0" borderId="3" xfId="21" applyNumberFormat="1" applyBorder="1"/>
    <xf numFmtId="4" fontId="18" fillId="4" borderId="5" xfId="21" applyNumberFormat="1" applyFill="1" applyBorder="1"/>
    <xf numFmtId="4" fontId="18" fillId="0" borderId="5" xfId="21" applyNumberFormat="1" applyBorder="1"/>
    <xf numFmtId="4" fontId="18" fillId="20" borderId="6" xfId="21" applyNumberFormat="1" applyFill="1" applyBorder="1"/>
    <xf numFmtId="0" fontId="27" fillId="0" borderId="7" xfId="23" applyNumberFormat="1" applyFont="1" applyBorder="1" applyAlignment="1" applyProtection="1">
      <alignment horizontal="center"/>
    </xf>
    <xf numFmtId="4" fontId="18" fillId="3" borderId="7" xfId="21" applyNumberFormat="1" applyFill="1" applyBorder="1"/>
    <xf numFmtId="4" fontId="18" fillId="0" borderId="0" xfId="21" applyNumberFormat="1" applyBorder="1"/>
    <xf numFmtId="4" fontId="18" fillId="0" borderId="4" xfId="21" applyNumberFormat="1" applyBorder="1"/>
    <xf numFmtId="4" fontId="18" fillId="4" borderId="7" xfId="21" applyNumberFormat="1" applyFill="1" applyBorder="1"/>
    <xf numFmtId="4" fontId="18" fillId="0" borderId="7" xfId="21" applyNumberFormat="1" applyBorder="1"/>
    <xf numFmtId="4" fontId="18" fillId="20" borderId="0" xfId="21" applyNumberFormat="1" applyFill="1" applyBorder="1"/>
    <xf numFmtId="0" fontId="27" fillId="7" borderId="7" xfId="23" applyNumberFormat="1" applyFont="1" applyFill="1" applyBorder="1" applyAlignment="1" applyProtection="1">
      <alignment horizontal="center"/>
    </xf>
    <xf numFmtId="4" fontId="18" fillId="7" borderId="7" xfId="21" applyNumberFormat="1" applyFill="1" applyBorder="1"/>
    <xf numFmtId="4" fontId="18" fillId="7" borderId="0" xfId="21" applyNumberFormat="1" applyFill="1" applyBorder="1"/>
    <xf numFmtId="4" fontId="18" fillId="7" borderId="4" xfId="21" applyNumberFormat="1" applyFill="1" applyBorder="1"/>
    <xf numFmtId="4" fontId="18" fillId="3" borderId="0" xfId="21" applyNumberFormat="1" applyFill="1" applyBorder="1"/>
    <xf numFmtId="0" fontId="18" fillId="7" borderId="0" xfId="21" applyFill="1"/>
    <xf numFmtId="0" fontId="18" fillId="7" borderId="0" xfId="21" applyFill="1" applyAlignment="1">
      <alignment horizontal="left"/>
    </xf>
    <xf numFmtId="0" fontId="18" fillId="8" borderId="0" xfId="21" applyFill="1"/>
    <xf numFmtId="4" fontId="18" fillId="4" borderId="0" xfId="21" applyNumberFormat="1" applyFill="1" applyBorder="1"/>
    <xf numFmtId="4" fontId="18" fillId="19" borderId="0" xfId="21" applyNumberFormat="1" applyFill="1" applyBorder="1"/>
    <xf numFmtId="0" fontId="30" fillId="0" borderId="61" xfId="0" applyFont="1" applyFill="1" applyBorder="1" applyAlignment="1" applyProtection="1">
      <alignment horizontal="left" vertical="center" wrapText="1"/>
      <protection hidden="1"/>
    </xf>
    <xf numFmtId="0" fontId="30" fillId="0" borderId="62" xfId="0" applyFont="1" applyFill="1" applyBorder="1" applyAlignment="1" applyProtection="1">
      <alignment horizontal="left" vertical="center" wrapText="1"/>
      <protection hidden="1"/>
    </xf>
    <xf numFmtId="15" fontId="61" fillId="5" borderId="51" xfId="0" quotePrefix="1" applyNumberFormat="1" applyFont="1" applyFill="1" applyBorder="1" applyAlignment="1" applyProtection="1">
      <alignment horizontal="center" vertical="center" wrapText="1"/>
      <protection hidden="1"/>
    </xf>
    <xf numFmtId="15" fontId="61" fillId="16" borderId="5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44" xfId="0" applyNumberFormat="1" applyFont="1" applyFill="1" applyBorder="1" applyAlignment="1" applyProtection="1">
      <alignment horizontal="center" vertical="center" wrapText="1"/>
      <protection hidden="1"/>
    </xf>
    <xf numFmtId="15" fontId="62" fillId="5" borderId="44" xfId="0" quotePrefix="1" applyNumberFormat="1" applyFont="1" applyFill="1" applyBorder="1" applyAlignment="1" applyProtection="1">
      <alignment horizontal="center" vertical="center" wrapText="1"/>
      <protection hidden="1"/>
    </xf>
    <xf numFmtId="15" fontId="62" fillId="5" borderId="63"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6" fillId="2" borderId="7" xfId="23" applyNumberFormat="1" applyFont="1" applyFill="1" applyBorder="1" applyProtection="1"/>
    <xf numFmtId="0" fontId="26" fillId="2" borderId="0" xfId="23" applyFont="1" applyFill="1" applyBorder="1"/>
    <xf numFmtId="0" fontId="18" fillId="2" borderId="0" xfId="21" applyFill="1" applyBorder="1"/>
    <xf numFmtId="0" fontId="18" fillId="12" borderId="0" xfId="21" applyFill="1"/>
    <xf numFmtId="0" fontId="18" fillId="0" borderId="0" xfId="21"/>
    <xf numFmtId="37" fontId="40" fillId="9" borderId="0" xfId="23" applyNumberFormat="1" applyFont="1" applyFill="1" applyBorder="1" applyAlignment="1" applyProtection="1">
      <alignment horizontal="centerContinuous"/>
    </xf>
    <xf numFmtId="0" fontId="18"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18" fillId="0" borderId="8" xfId="21" applyBorder="1"/>
    <xf numFmtId="0" fontId="18"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6" fillId="0" borderId="5" xfId="23" applyNumberFormat="1" applyFont="1" applyBorder="1" applyProtection="1"/>
    <xf numFmtId="37" fontId="29" fillId="0" borderId="3" xfId="23" quotePrefix="1" applyNumberFormat="1" applyFont="1" applyBorder="1" applyAlignment="1" applyProtection="1">
      <alignment horizontal="left"/>
    </xf>
    <xf numFmtId="37" fontId="29" fillId="0" borderId="4" xfId="23" quotePrefix="1" applyNumberFormat="1" applyFont="1" applyBorder="1" applyAlignment="1" applyProtection="1">
      <alignment horizontal="left"/>
    </xf>
    <xf numFmtId="0" fontId="27" fillId="0" borderId="11" xfId="23" applyNumberFormat="1" applyFont="1" applyBorder="1" applyAlignment="1" applyProtection="1">
      <alignment horizontal="center"/>
    </xf>
    <xf numFmtId="37" fontId="29" fillId="0" borderId="12" xfId="23" applyNumberFormat="1" applyFont="1" applyFill="1" applyBorder="1" applyProtection="1"/>
    <xf numFmtId="4" fontId="18" fillId="3" borderId="11" xfId="21" applyNumberFormat="1" applyFill="1" applyBorder="1"/>
    <xf numFmtId="4" fontId="18" fillId="0" borderId="13" xfId="21" applyNumberFormat="1" applyBorder="1"/>
    <xf numFmtId="4" fontId="18" fillId="0" borderId="12" xfId="21" applyNumberFormat="1" applyBorder="1"/>
    <xf numFmtId="4" fontId="18" fillId="4" borderId="11" xfId="21" applyNumberFormat="1" applyFill="1" applyBorder="1"/>
    <xf numFmtId="4" fontId="18" fillId="20" borderId="13" xfId="21" applyNumberFormat="1" applyFill="1" applyBorder="1"/>
    <xf numFmtId="168" fontId="26" fillId="0" borderId="7" xfId="23" applyNumberFormat="1" applyFont="1" applyBorder="1" applyProtection="1"/>
    <xf numFmtId="37" fontId="29" fillId="0" borderId="4" xfId="23" applyNumberFormat="1" applyFont="1" applyFill="1" applyBorder="1" applyProtection="1"/>
    <xf numFmtId="168" fontId="26" fillId="0" borderId="11" xfId="23" applyNumberFormat="1" applyFont="1" applyBorder="1" applyProtection="1"/>
    <xf numFmtId="4" fontId="18" fillId="0" borderId="11" xfId="21" applyNumberFormat="1" applyBorder="1"/>
    <xf numFmtId="0" fontId="27" fillId="7" borderId="11" xfId="23" applyNumberFormat="1" applyFont="1" applyFill="1" applyBorder="1" applyAlignment="1" applyProtection="1">
      <alignment horizontal="center"/>
    </xf>
    <xf numFmtId="37" fontId="29" fillId="7" borderId="12" xfId="23" applyNumberFormat="1" applyFont="1" applyFill="1" applyBorder="1" applyProtection="1"/>
    <xf numFmtId="4" fontId="18" fillId="7" borderId="11" xfId="21" applyNumberFormat="1" applyFill="1" applyBorder="1"/>
    <xf numFmtId="4" fontId="18" fillId="7" borderId="13" xfId="21" applyNumberFormat="1" applyFill="1" applyBorder="1"/>
    <xf numFmtId="4" fontId="18" fillId="7" borderId="12" xfId="21" applyNumberFormat="1" applyFill="1" applyBorder="1"/>
    <xf numFmtId="4" fontId="18" fillId="4" borderId="6" xfId="21" applyNumberFormat="1" applyFill="1" applyBorder="1"/>
    <xf numFmtId="37" fontId="29" fillId="0" borderId="12" xfId="23" quotePrefix="1" applyNumberFormat="1" applyFont="1" applyFill="1" applyBorder="1" applyAlignment="1" applyProtection="1">
      <alignment horizontal="left"/>
    </xf>
    <xf numFmtId="4" fontId="18" fillId="4" borderId="13" xfId="21" applyNumberFormat="1" applyFill="1" applyBorder="1"/>
    <xf numFmtId="4" fontId="18" fillId="0" borderId="0" xfId="21" applyNumberFormat="1"/>
    <xf numFmtId="37" fontId="29" fillId="0" borderId="12" xfId="23" applyNumberFormat="1" applyFont="1" applyBorder="1" applyProtection="1"/>
    <xf numFmtId="0" fontId="27" fillId="0" borderId="7" xfId="23" applyNumberFormat="1" applyFont="1" applyFill="1" applyBorder="1" applyAlignment="1" applyProtection="1">
      <alignment horizontal="center"/>
    </xf>
    <xf numFmtId="4" fontId="18" fillId="0" borderId="7" xfId="21" applyNumberFormat="1" applyFill="1" applyBorder="1"/>
    <xf numFmtId="4" fontId="18" fillId="0" borderId="0" xfId="21" applyNumberFormat="1" applyFill="1" applyBorder="1"/>
    <xf numFmtId="4" fontId="18" fillId="0" borderId="4" xfId="21" applyNumberFormat="1" applyFill="1" applyBorder="1"/>
    <xf numFmtId="4" fontId="18" fillId="0" borderId="11" xfId="21" applyNumberFormat="1" applyFill="1" applyBorder="1"/>
    <xf numFmtId="4" fontId="18" fillId="0" borderId="13" xfId="21" applyNumberFormat="1" applyFill="1" applyBorder="1"/>
    <xf numFmtId="4" fontId="18" fillId="0" borderId="12" xfId="21" applyNumberFormat="1" applyFill="1" applyBorder="1"/>
    <xf numFmtId="4" fontId="18" fillId="2" borderId="0" xfId="21" applyNumberFormat="1" applyFill="1" applyBorder="1"/>
    <xf numFmtId="37" fontId="29" fillId="2" borderId="0" xfId="23" applyNumberFormat="1" applyFont="1" applyFill="1" applyBorder="1" applyProtection="1"/>
    <xf numFmtId="4" fontId="18" fillId="21" borderId="0" xfId="21" applyNumberFormat="1" applyFill="1" applyBorder="1"/>
    <xf numFmtId="0" fontId="27" fillId="2" borderId="8" xfId="23" applyNumberFormat="1" applyFont="1" applyFill="1" applyBorder="1" applyAlignment="1" applyProtection="1">
      <alignment horizontal="center"/>
    </xf>
    <xf numFmtId="37" fontId="30" fillId="2" borderId="9" xfId="23" applyNumberFormat="1" applyFont="1" applyFill="1" applyBorder="1" applyProtection="1"/>
    <xf numFmtId="0" fontId="18"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18" fillId="0" borderId="0" xfId="21" applyNumberFormat="1"/>
    <xf numFmtId="0" fontId="18"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18" fillId="2" borderId="10" xfId="21" applyFill="1" applyBorder="1"/>
    <xf numFmtId="0" fontId="42" fillId="2" borderId="10" xfId="21" applyFont="1" applyFill="1" applyBorder="1" applyAlignment="1">
      <alignment horizontal="centerContinuous"/>
    </xf>
    <xf numFmtId="0" fontId="18" fillId="2" borderId="10" xfId="21" applyFill="1" applyBorder="1" applyAlignment="1">
      <alignment horizontal="centerContinuous"/>
    </xf>
    <xf numFmtId="0" fontId="42" fillId="2" borderId="10" xfId="21" applyFont="1" applyFill="1" applyBorder="1" applyAlignment="1">
      <alignment horizontal="left"/>
    </xf>
    <xf numFmtId="0" fontId="18" fillId="2" borderId="8" xfId="21" applyFill="1" applyBorder="1" applyAlignment="1">
      <alignment horizontal="centerContinuous"/>
    </xf>
    <xf numFmtId="0" fontId="18" fillId="2" borderId="15" xfId="21" applyFill="1" applyBorder="1" applyAlignment="1">
      <alignment horizontal="centerContinuous"/>
    </xf>
    <xf numFmtId="0" fontId="18" fillId="2" borderId="9" xfId="21" applyFill="1" applyBorder="1" applyAlignment="1">
      <alignment horizontal="centerContinuous"/>
    </xf>
    <xf numFmtId="0" fontId="18" fillId="2" borderId="16" xfId="21" applyFill="1" applyBorder="1"/>
    <xf numFmtId="4" fontId="18" fillId="2" borderId="10" xfId="21" applyNumberFormat="1" applyFill="1" applyBorder="1"/>
    <xf numFmtId="0" fontId="18" fillId="2" borderId="8" xfId="21" applyFill="1" applyBorder="1"/>
    <xf numFmtId="4" fontId="18" fillId="2" borderId="15" xfId="21" applyNumberFormat="1" applyFill="1" applyBorder="1"/>
    <xf numFmtId="4" fontId="18" fillId="2" borderId="15" xfId="21" applyNumberFormat="1" applyFill="1" applyBorder="1" applyAlignment="1">
      <alignment horizontal="centerContinuous"/>
    </xf>
    <xf numFmtId="4" fontId="18" fillId="2" borderId="9" xfId="21" applyNumberFormat="1" applyFill="1" applyBorder="1" applyAlignment="1">
      <alignment horizontal="centerContinuous"/>
    </xf>
    <xf numFmtId="0" fontId="18" fillId="2" borderId="15" xfId="21" applyFill="1" applyBorder="1"/>
    <xf numFmtId="4" fontId="18" fillId="2" borderId="0" xfId="21" applyNumberFormat="1" applyFill="1"/>
    <xf numFmtId="0" fontId="18"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18" fillId="2" borderId="17" xfId="21" applyNumberFormat="1" applyFill="1" applyBorder="1"/>
    <xf numFmtId="0" fontId="18" fillId="2" borderId="18" xfId="21" applyFill="1" applyBorder="1" applyAlignment="1">
      <alignment horizontal="centerContinuous"/>
    </xf>
    <xf numFmtId="0" fontId="18" fillId="2" borderId="19" xfId="21" applyFill="1" applyBorder="1" applyAlignment="1">
      <alignment horizontal="centerContinuous"/>
    </xf>
    <xf numFmtId="0" fontId="42" fillId="2" borderId="17" xfId="21" applyFont="1" applyFill="1" applyBorder="1" applyAlignment="1">
      <alignment horizontal="centerContinuous"/>
    </xf>
    <xf numFmtId="0" fontId="18" fillId="2" borderId="17" xfId="21" applyFill="1" applyBorder="1" applyAlignment="1">
      <alignment horizontal="centerContinuous"/>
    </xf>
    <xf numFmtId="2" fontId="18" fillId="12" borderId="0" xfId="21" applyNumberFormat="1" applyFill="1"/>
    <xf numFmtId="0" fontId="18" fillId="2" borderId="20" xfId="21" applyFill="1" applyBorder="1"/>
    <xf numFmtId="0" fontId="18" fillId="2" borderId="21" xfId="21" applyFill="1" applyBorder="1"/>
    <xf numFmtId="4" fontId="18" fillId="2" borderId="21" xfId="21" applyNumberFormat="1" applyFill="1" applyBorder="1"/>
    <xf numFmtId="0" fontId="18" fillId="2" borderId="22" xfId="21" applyFill="1" applyBorder="1"/>
    <xf numFmtId="0" fontId="18" fillId="2" borderId="23" xfId="21" applyFill="1" applyBorder="1"/>
    <xf numFmtId="0" fontId="42" fillId="2" borderId="21" xfId="21" applyFont="1" applyFill="1" applyBorder="1" applyAlignment="1">
      <alignment horizontal="centerContinuous"/>
    </xf>
    <xf numFmtId="4" fontId="18" fillId="2" borderId="24" xfId="21" applyNumberFormat="1" applyFill="1" applyBorder="1" applyAlignment="1">
      <alignment horizontal="centerContinuous"/>
    </xf>
    <xf numFmtId="4" fontId="18" fillId="2" borderId="25" xfId="21" applyNumberFormat="1" applyFill="1" applyBorder="1" applyAlignment="1">
      <alignment horizontal="centerContinuous"/>
    </xf>
    <xf numFmtId="0" fontId="42" fillId="2" borderId="21" xfId="21" applyFont="1" applyFill="1" applyBorder="1" applyAlignment="1">
      <alignment horizontal="left"/>
    </xf>
    <xf numFmtId="0" fontId="18" fillId="2" borderId="26" xfId="21" applyFill="1" applyBorder="1"/>
    <xf numFmtId="0" fontId="18" fillId="2" borderId="27" xfId="21" applyFill="1" applyBorder="1"/>
    <xf numFmtId="0" fontId="18" fillId="2" borderId="28" xfId="21" applyFill="1" applyBorder="1"/>
    <xf numFmtId="4" fontId="18" fillId="2" borderId="28" xfId="21" applyNumberFormat="1" applyFill="1" applyBorder="1"/>
    <xf numFmtId="4" fontId="18" fillId="2" borderId="29" xfId="21" applyNumberFormat="1" applyFill="1" applyBorder="1"/>
    <xf numFmtId="4" fontId="18" fillId="2" borderId="30" xfId="21" applyNumberFormat="1" applyFill="1" applyBorder="1"/>
    <xf numFmtId="0" fontId="44" fillId="2" borderId="0" xfId="21" quotePrefix="1" applyFont="1" applyFill="1" applyAlignment="1">
      <alignment horizontal="left"/>
    </xf>
    <xf numFmtId="0" fontId="18" fillId="2" borderId="0" xfId="21" quotePrefix="1" applyFill="1" applyAlignment="1">
      <alignment horizontal="left"/>
    </xf>
    <xf numFmtId="2" fontId="18" fillId="0" borderId="0" xfId="21" applyNumberFormat="1" applyFill="1"/>
    <xf numFmtId="0" fontId="27" fillId="2" borderId="0" xfId="21" applyFont="1" applyFill="1"/>
    <xf numFmtId="169" fontId="18" fillId="2" borderId="0" xfId="21" applyNumberFormat="1" applyFill="1"/>
    <xf numFmtId="170" fontId="18" fillId="2" borderId="0" xfId="21" applyNumberFormat="1" applyFill="1"/>
    <xf numFmtId="9" fontId="18"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9" fillId="2" borderId="2" xfId="0" applyFont="1" applyFill="1" applyBorder="1" applyAlignment="1" applyProtection="1">
      <alignment vertical="center"/>
      <protection hidden="1"/>
    </xf>
    <xf numFmtId="4" fontId="29" fillId="2" borderId="2" xfId="0" applyNumberFormat="1" applyFont="1" applyFill="1" applyBorder="1" applyAlignment="1" applyProtection="1">
      <alignment vertical="center"/>
      <protection hidden="1"/>
    </xf>
    <xf numFmtId="0" fontId="29" fillId="20" borderId="2" xfId="0" applyFont="1" applyFill="1" applyBorder="1" applyAlignment="1" applyProtection="1">
      <alignment horizontal="center" vertical="center"/>
      <protection hidden="1"/>
    </xf>
    <xf numFmtId="43" fontId="26" fillId="0" borderId="0" xfId="17" applyFont="1"/>
    <xf numFmtId="0" fontId="0" fillId="0" borderId="0" xfId="0" applyAlignment="1">
      <alignment vertical="top" wrapText="1"/>
    </xf>
    <xf numFmtId="17" fontId="52" fillId="6" borderId="39" xfId="0" applyNumberFormat="1" applyFont="1" applyFill="1" applyBorder="1" applyAlignment="1" applyProtection="1">
      <alignment horizontal="center" vertical="center" wrapText="1"/>
      <protection hidden="1"/>
    </xf>
    <xf numFmtId="166" fontId="54" fillId="2" borderId="0" xfId="24" applyFont="1" applyFill="1" applyAlignment="1" applyProtection="1">
      <alignment horizontal="left" vertical="center"/>
      <protection hidden="1"/>
    </xf>
    <xf numFmtId="0" fontId="29"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52" xfId="25" quotePrefix="1" applyFont="1" applyFill="1" applyBorder="1" applyAlignment="1" applyProtection="1">
      <alignment horizontal="center" vertical="center" wrapText="1"/>
      <protection hidden="1"/>
    </xf>
    <xf numFmtId="0" fontId="18" fillId="0" borderId="0" xfId="0" applyFont="1" applyAlignment="1" applyProtection="1">
      <alignment vertical="center"/>
      <protection hidden="1"/>
    </xf>
    <xf numFmtId="0" fontId="29" fillId="14" borderId="32" xfId="0" quotePrefix="1" applyFont="1" applyFill="1" applyBorder="1" applyAlignment="1" applyProtection="1">
      <alignment horizontal="lef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29" fillId="14" borderId="32" xfId="0" applyFont="1" applyFill="1" applyBorder="1" applyAlignment="1" applyProtection="1">
      <alignment horizontal="left" vertical="center"/>
      <protection hidden="1"/>
    </xf>
    <xf numFmtId="0" fontId="29" fillId="14" borderId="33" xfId="0" applyFont="1" applyFill="1" applyBorder="1" applyAlignment="1" applyProtection="1">
      <alignment horizontal="left" vertical="center" wrapText="1"/>
      <protection hidden="1"/>
    </xf>
    <xf numFmtId="4" fontId="29" fillId="14" borderId="31" xfId="0" applyNumberFormat="1" applyFont="1" applyFill="1" applyBorder="1" applyAlignment="1" applyProtection="1">
      <alignment horizontal="right" vertical="center"/>
      <protection hidden="1"/>
    </xf>
    <xf numFmtId="4" fontId="29" fillId="14" borderId="36" xfId="0" applyNumberFormat="1" applyFont="1" applyFill="1" applyBorder="1" applyAlignment="1" applyProtection="1">
      <alignment horizontal="righ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0" fontId="56" fillId="6" borderId="59" xfId="0" applyFont="1" applyFill="1" applyBorder="1" applyAlignment="1" applyProtection="1">
      <alignment horizontal="center" vertical="center" wrapText="1"/>
      <protection hidden="1"/>
    </xf>
    <xf numFmtId="0" fontId="56" fillId="6" borderId="60" xfId="0" applyFont="1" applyFill="1" applyBorder="1" applyAlignment="1" applyProtection="1">
      <alignment horizontal="center" vertical="center"/>
      <protection hidden="1"/>
    </xf>
    <xf numFmtId="0" fontId="51" fillId="5" borderId="45" xfId="0" applyFont="1" applyFill="1" applyBorder="1" applyAlignment="1" applyProtection="1">
      <alignment horizontal="center" vertical="center" wrapText="1"/>
      <protection hidden="1"/>
    </xf>
    <xf numFmtId="15" fontId="62" fillId="5" borderId="47" xfId="0" applyNumberFormat="1" applyFont="1" applyFill="1" applyBorder="1" applyAlignment="1" applyProtection="1">
      <alignment horizontal="center" vertical="center" wrapText="1"/>
      <protection hidden="1"/>
    </xf>
    <xf numFmtId="43" fontId="30" fillId="12" borderId="45" xfId="17" applyFont="1" applyFill="1" applyBorder="1" applyAlignment="1" applyProtection="1">
      <alignment horizontal="center" vertical="center" wrapText="1"/>
      <protection hidden="1"/>
    </xf>
    <xf numFmtId="43" fontId="31" fillId="0" borderId="45" xfId="17" applyFont="1" applyFill="1" applyBorder="1" applyAlignment="1" applyProtection="1">
      <alignment vertical="center" wrapText="1"/>
      <protection hidden="1"/>
    </xf>
    <xf numFmtId="0" fontId="18" fillId="12" borderId="0" xfId="0" applyFont="1" applyFill="1" applyBorder="1" applyAlignment="1" applyProtection="1">
      <alignment vertical="center"/>
      <protection hidden="1"/>
    </xf>
    <xf numFmtId="0" fontId="18"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29" fillId="2" borderId="0" xfId="0" quotePrefix="1"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vertical="center"/>
      <protection hidden="1"/>
    </xf>
    <xf numFmtId="4" fontId="29" fillId="23" borderId="41" xfId="0" applyNumberFormat="1" applyFont="1" applyFill="1" applyBorder="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1"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vertical="center"/>
      <protection hidden="1"/>
    </xf>
    <xf numFmtId="17" fontId="52" fillId="6" borderId="54" xfId="0" applyNumberFormat="1" applyFont="1" applyFill="1" applyBorder="1" applyAlignment="1" applyProtection="1">
      <alignment horizontal="center" vertical="center" wrapText="1"/>
      <protection hidden="1"/>
    </xf>
    <xf numFmtId="17" fontId="52" fillId="6" borderId="55" xfId="0" applyNumberFormat="1" applyFont="1" applyFill="1" applyBorder="1" applyAlignment="1" applyProtection="1">
      <alignment horizontal="center" vertical="center" wrapText="1"/>
      <protection hidden="1"/>
    </xf>
    <xf numFmtId="0" fontId="29" fillId="2" borderId="42" xfId="0" quotePrefix="1" applyFont="1" applyFill="1" applyBorder="1" applyAlignment="1" applyProtection="1">
      <alignment horizontal="left" vertical="center"/>
      <protection hidden="1"/>
    </xf>
    <xf numFmtId="4" fontId="29" fillId="23" borderId="45"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0" fontId="29" fillId="2" borderId="42" xfId="0" applyFont="1" applyFill="1" applyBorder="1" applyAlignment="1" applyProtection="1">
      <alignment horizontal="left" vertical="center"/>
      <protection hidden="1"/>
    </xf>
    <xf numFmtId="0" fontId="54" fillId="5" borderId="42" xfId="0" quotePrefix="1" applyFont="1" applyFill="1" applyBorder="1" applyAlignment="1" applyProtection="1">
      <alignment horizontal="left" vertical="center" wrapText="1"/>
      <protection hidden="1"/>
    </xf>
    <xf numFmtId="4" fontId="54" fillId="5" borderId="45" xfId="0" applyNumberFormat="1" applyFont="1" applyFill="1" applyBorder="1" applyAlignment="1" applyProtection="1">
      <alignment vertical="center"/>
      <protection hidden="1"/>
    </xf>
    <xf numFmtId="0" fontId="29" fillId="2" borderId="43" xfId="0" quotePrefix="1" applyFont="1" applyFill="1" applyBorder="1" applyAlignment="1" applyProtection="1">
      <alignment horizontal="left" vertical="center" wrapText="1"/>
      <protection hidden="1"/>
    </xf>
    <xf numFmtId="4" fontId="29" fillId="2" borderId="44" xfId="0" applyNumberFormat="1" applyFont="1" applyFill="1" applyBorder="1" applyAlignment="1" applyProtection="1">
      <alignment horizontal="right" vertical="center"/>
      <protection hidden="1"/>
    </xf>
    <xf numFmtId="4" fontId="29" fillId="2" borderId="4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42" xfId="0" quotePrefix="1" applyFont="1" applyFill="1" applyBorder="1" applyAlignment="1" applyProtection="1">
      <alignment horizontal="left" vertical="center"/>
      <protection hidden="1"/>
    </xf>
    <xf numFmtId="4" fontId="30" fillId="2" borderId="41"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horizontal="right" vertical="center"/>
      <protection hidden="1"/>
    </xf>
    <xf numFmtId="4" fontId="54" fillId="5" borderId="45" xfId="0" applyNumberFormat="1" applyFont="1" applyFill="1" applyBorder="1" applyAlignment="1" applyProtection="1">
      <alignment horizontal="right" vertical="center"/>
      <protection hidden="1"/>
    </xf>
    <xf numFmtId="0" fontId="51" fillId="15" borderId="53" xfId="0" applyFont="1" applyFill="1" applyBorder="1" applyAlignment="1" applyProtection="1">
      <alignment horizontal="center" vertical="center" wrapText="1"/>
      <protection hidden="1"/>
    </xf>
    <xf numFmtId="17" fontId="51" fillId="15" borderId="54" xfId="0" applyNumberFormat="1" applyFont="1" applyFill="1" applyBorder="1" applyAlignment="1" applyProtection="1">
      <alignment horizontal="center" vertical="center" wrapText="1"/>
      <protection hidden="1"/>
    </xf>
    <xf numFmtId="17" fontId="51" fillId="15" borderId="55" xfId="0" applyNumberFormat="1" applyFont="1" applyFill="1" applyBorder="1" applyAlignment="1" applyProtection="1">
      <alignment horizontal="center" vertical="center" wrapText="1"/>
      <protection hidden="1"/>
    </xf>
    <xf numFmtId="43" fontId="29" fillId="2" borderId="41" xfId="17" applyFont="1" applyFill="1" applyBorder="1" applyAlignment="1" applyProtection="1">
      <alignment horizontal="right" vertical="center"/>
      <protection hidden="1"/>
    </xf>
    <xf numFmtId="4" fontId="29" fillId="2" borderId="41" xfId="0" applyNumberFormat="1" applyFont="1" applyFill="1" applyBorder="1" applyAlignment="1" applyProtection="1">
      <alignment horizontal="right" vertical="center"/>
      <protection hidden="1"/>
    </xf>
    <xf numFmtId="0" fontId="30" fillId="2" borderId="42" xfId="0"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horizontal="right" vertical="center"/>
      <protection hidden="1"/>
    </xf>
    <xf numFmtId="4" fontId="29" fillId="12" borderId="41" xfId="0" applyNumberFormat="1" applyFont="1" applyFill="1" applyBorder="1" applyAlignment="1" applyProtection="1">
      <alignment horizontal="right" vertical="center"/>
      <protection hidden="1"/>
    </xf>
    <xf numFmtId="0" fontId="29" fillId="2" borderId="4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18" fillId="12" borderId="0" xfId="0" applyFont="1" applyFill="1" applyBorder="1" applyAlignment="1" applyProtection="1">
      <alignment vertical="top"/>
      <protection hidden="1"/>
    </xf>
    <xf numFmtId="4" fontId="29" fillId="0" borderId="4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37" fontId="29" fillId="12" borderId="3" xfId="23" quotePrefix="1" applyNumberFormat="1" applyFont="1" applyFill="1" applyBorder="1" applyAlignment="1" applyProtection="1">
      <alignment horizontal="left"/>
    </xf>
    <xf numFmtId="37" fontId="29" fillId="12" borderId="4" xfId="23" quotePrefix="1" applyNumberFormat="1" applyFont="1" applyFill="1" applyBorder="1" applyAlignment="1" applyProtection="1">
      <alignment horizontal="left"/>
    </xf>
    <xf numFmtId="37" fontId="29" fillId="12" borderId="12" xfId="23" applyNumberFormat="1" applyFont="1" applyFill="1" applyBorder="1" applyProtection="1"/>
    <xf numFmtId="37" fontId="29" fillId="12" borderId="4" xfId="23" applyNumberFormat="1" applyFont="1" applyFill="1" applyBorder="1" applyProtection="1"/>
    <xf numFmtId="37" fontId="29" fillId="12" borderId="12" xfId="23" applyNumberFormat="1" applyFont="1" applyFill="1" applyBorder="1" applyAlignment="1" applyProtection="1">
      <alignment horizontal="left" indent="1"/>
    </xf>
    <xf numFmtId="37" fontId="29" fillId="12" borderId="12" xfId="23" quotePrefix="1" applyNumberFormat="1" applyFont="1" applyFill="1" applyBorder="1" applyAlignment="1" applyProtection="1">
      <alignment horizontal="left"/>
    </xf>
    <xf numFmtId="37" fontId="29" fillId="12" borderId="3" xfId="23" applyNumberFormat="1" applyFont="1" applyFill="1" applyBorder="1" applyProtection="1"/>
    <xf numFmtId="37" fontId="29" fillId="12" borderId="15" xfId="23" applyNumberFormat="1" applyFont="1" applyFill="1" applyBorder="1" applyProtection="1"/>
    <xf numFmtId="4" fontId="18" fillId="26" borderId="0" xfId="21" applyNumberFormat="1" applyFill="1" applyBorder="1"/>
    <xf numFmtId="37" fontId="73" fillId="2" borderId="10" xfId="23" applyNumberFormat="1" applyFont="1" applyFill="1" applyBorder="1" applyAlignment="1" applyProtection="1">
      <alignment wrapText="1"/>
    </xf>
    <xf numFmtId="0" fontId="44" fillId="2" borderId="83" xfId="21" applyFont="1" applyFill="1" applyBorder="1" applyAlignment="1">
      <alignment horizontal="center"/>
    </xf>
    <xf numFmtId="0" fontId="18" fillId="2" borderId="84" xfId="21" applyFill="1" applyBorder="1"/>
    <xf numFmtId="0" fontId="44" fillId="2" borderId="84" xfId="21" applyFont="1" applyFill="1" applyBorder="1" applyAlignment="1">
      <alignment horizontal="center"/>
    </xf>
    <xf numFmtId="0" fontId="18" fillId="2" borderId="85" xfId="21" quotePrefix="1" applyFill="1" applyBorder="1" applyAlignment="1">
      <alignment horizontal="left"/>
    </xf>
    <xf numFmtId="37" fontId="72" fillId="25" borderId="3" xfId="23" applyNumberFormat="1" applyFont="1" applyFill="1" applyBorder="1" applyAlignment="1" applyProtection="1">
      <alignment vertical="center" wrapText="1"/>
    </xf>
    <xf numFmtId="37" fontId="72" fillId="25" borderId="4" xfId="23" applyNumberFormat="1" applyFont="1" applyFill="1" applyBorder="1" applyAlignment="1" applyProtection="1">
      <alignment vertical="center" wrapText="1"/>
    </xf>
    <xf numFmtId="37" fontId="72" fillId="25" borderId="12" xfId="23" applyNumberFormat="1" applyFont="1" applyFill="1" applyBorder="1" applyAlignment="1" applyProtection="1">
      <alignment vertical="center" wrapText="1"/>
    </xf>
    <xf numFmtId="49" fontId="73" fillId="25" borderId="16" xfId="21" applyNumberFormat="1" applyFont="1" applyFill="1" applyBorder="1" applyAlignment="1">
      <alignment horizontal="center" vertical="center" wrapText="1"/>
    </xf>
    <xf numFmtId="4" fontId="18" fillId="12" borderId="5" xfId="21" applyNumberFormat="1" applyFill="1" applyBorder="1"/>
    <xf numFmtId="4" fontId="18" fillId="12" borderId="6" xfId="21" applyNumberFormat="1" applyFill="1" applyBorder="1"/>
    <xf numFmtId="4" fontId="18" fillId="12" borderId="3" xfId="21" applyNumberFormat="1" applyFill="1" applyBorder="1"/>
    <xf numFmtId="4" fontId="18" fillId="12" borderId="7" xfId="21" applyNumberFormat="1" applyFill="1" applyBorder="1"/>
    <xf numFmtId="4" fontId="18" fillId="12" borderId="0" xfId="21" applyNumberFormat="1" applyFill="1" applyBorder="1"/>
    <xf numFmtId="4" fontId="18" fillId="12" borderId="4" xfId="21" applyNumberFormat="1" applyFill="1" applyBorder="1"/>
    <xf numFmtId="4" fontId="18" fillId="12" borderId="11" xfId="21" applyNumberFormat="1" applyFill="1" applyBorder="1"/>
    <xf numFmtId="4" fontId="18" fillId="12" borderId="13" xfId="21" applyNumberFormat="1" applyFill="1" applyBorder="1"/>
    <xf numFmtId="4" fontId="18" fillId="12" borderId="12" xfId="21" applyNumberFormat="1" applyFill="1" applyBorder="1"/>
    <xf numFmtId="165" fontId="18" fillId="12" borderId="13" xfId="21" applyNumberFormat="1" applyFill="1" applyBorder="1"/>
    <xf numFmtId="4" fontId="18" fillId="12" borderId="8" xfId="21" applyNumberFormat="1" applyFill="1" applyBorder="1"/>
    <xf numFmtId="4" fontId="18"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18" fillId="2" borderId="2" xfId="21" applyNumberFormat="1" applyFill="1" applyBorder="1"/>
    <xf numFmtId="4" fontId="18" fillId="2" borderId="88" xfId="21" applyNumberFormat="1" applyFill="1" applyBorder="1"/>
    <xf numFmtId="4" fontId="18" fillId="24" borderId="0" xfId="21" applyNumberFormat="1" applyFill="1" applyBorder="1"/>
    <xf numFmtId="2" fontId="18" fillId="24" borderId="0" xfId="21" applyNumberFormat="1" applyFill="1"/>
    <xf numFmtId="2" fontId="18" fillId="24" borderId="96" xfId="21" applyNumberFormat="1" applyFill="1" applyBorder="1"/>
    <xf numFmtId="4" fontId="29" fillId="0" borderId="45" xfId="0" applyNumberFormat="1" applyFont="1" applyFill="1" applyBorder="1" applyAlignment="1" applyProtection="1">
      <alignment horizontal="right" vertical="center"/>
      <protection hidden="1"/>
    </xf>
    <xf numFmtId="43" fontId="30" fillId="13" borderId="41" xfId="17" applyFont="1" applyFill="1" applyBorder="1" applyAlignment="1" applyProtection="1">
      <alignment horizontal="center" vertical="center" wrapText="1"/>
      <protection hidden="1"/>
    </xf>
    <xf numFmtId="43" fontId="0" fillId="0" borderId="0" xfId="0" applyNumberFormat="1"/>
    <xf numFmtId="4" fontId="55" fillId="2" borderId="0" xfId="0" applyNumberFormat="1" applyFont="1" applyFill="1" applyAlignment="1" applyProtection="1">
      <alignment vertical="center"/>
      <protection hidden="1"/>
    </xf>
    <xf numFmtId="4" fontId="30" fillId="0" borderId="41" xfId="0" applyNumberFormat="1" applyFont="1" applyFill="1" applyBorder="1" applyAlignment="1" applyProtection="1">
      <alignment horizontal="right" vertical="center"/>
      <protection hidden="1"/>
    </xf>
    <xf numFmtId="4" fontId="30" fillId="0" borderId="45" xfId="0" applyNumberFormat="1" applyFont="1" applyFill="1" applyBorder="1" applyAlignment="1" applyProtection="1">
      <alignment horizontal="right" vertical="center"/>
      <protection hidden="1"/>
    </xf>
    <xf numFmtId="43" fontId="30" fillId="0" borderId="49" xfId="17" applyNumberFormat="1" applyFont="1" applyFill="1" applyBorder="1" applyAlignment="1" applyProtection="1">
      <alignment horizontal="center" vertical="center" wrapText="1"/>
      <protection hidden="1"/>
    </xf>
    <xf numFmtId="171" fontId="30" fillId="12" borderId="48" xfId="17" applyNumberFormat="1" applyFont="1" applyFill="1" applyBorder="1" applyAlignment="1" applyProtection="1">
      <alignment horizontal="center" vertical="center" wrapText="1"/>
      <protection hidden="1"/>
    </xf>
    <xf numFmtId="43" fontId="30" fillId="12" borderId="45" xfId="17" applyFont="1" applyFill="1" applyBorder="1" applyAlignment="1" applyProtection="1">
      <alignment horizontal="right" vertical="center" wrapText="1"/>
      <protection hidden="1"/>
    </xf>
    <xf numFmtId="2" fontId="30" fillId="0" borderId="47" xfId="0" applyNumberFormat="1" applyFont="1" applyFill="1" applyBorder="1" applyAlignment="1" applyProtection="1">
      <alignment horizontal="right" vertical="center" wrapText="1"/>
      <protection hidden="1"/>
    </xf>
    <xf numFmtId="0" fontId="51" fillId="5" borderId="69"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3" fontId="30" fillId="0" borderId="41" xfId="17" applyFont="1" applyFill="1" applyBorder="1" applyAlignment="1" applyProtection="1">
      <alignment horizontal="center" vertical="center" wrapText="1"/>
      <protection hidden="1"/>
    </xf>
    <xf numFmtId="4" fontId="29" fillId="27" borderId="4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7" fillId="0" borderId="0" xfId="0" applyFont="1" applyAlignment="1">
      <alignment vertical="center"/>
    </xf>
    <xf numFmtId="43" fontId="30" fillId="0" borderId="41" xfId="17" applyNumberFormat="1" applyFont="1" applyFill="1" applyBorder="1" applyAlignment="1" applyProtection="1">
      <alignment horizontal="center" vertical="center" wrapText="1"/>
      <protection hidden="1"/>
    </xf>
    <xf numFmtId="173" fontId="29"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0" fillId="0" borderId="41" xfId="17" quotePrefix="1" applyFont="1" applyFill="1" applyBorder="1" applyAlignment="1" applyProtection="1">
      <alignment horizontal="center" vertical="center" wrapText="1"/>
      <protection hidden="1"/>
    </xf>
    <xf numFmtId="4" fontId="29" fillId="2" borderId="41" xfId="0" applyNumberFormat="1" applyFont="1" applyFill="1" applyBorder="1" applyAlignment="1" applyProtection="1">
      <alignment horizontal="center" vertical="center"/>
      <protection hidden="1"/>
    </xf>
    <xf numFmtId="0" fontId="29" fillId="2" borderId="0" xfId="0" applyFont="1" applyFill="1" applyAlignment="1" applyProtection="1">
      <alignment horizontal="center" vertical="center"/>
      <protection hidden="1"/>
    </xf>
    <xf numFmtId="4" fontId="29" fillId="2" borderId="45" xfId="0" applyNumberFormat="1" applyFont="1" applyFill="1" applyBorder="1" applyAlignment="1" applyProtection="1">
      <alignment horizontal="center" vertical="center"/>
      <protection hidden="1"/>
    </xf>
    <xf numFmtId="0" fontId="82" fillId="0" borderId="0" xfId="30" applyFont="1"/>
    <xf numFmtId="0" fontId="17" fillId="0" borderId="0" xfId="30" applyFont="1"/>
    <xf numFmtId="0" fontId="17"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7" fillId="0" borderId="2" xfId="30" applyFont="1" applyBorder="1" applyAlignment="1">
      <alignment horizontal="center"/>
    </xf>
    <xf numFmtId="0" fontId="87" fillId="28"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7" fillId="0" borderId="2" xfId="30" applyFont="1" applyFill="1" applyBorder="1" applyAlignment="1">
      <alignment horizontal="center"/>
    </xf>
    <xf numFmtId="0" fontId="17" fillId="28" borderId="2" xfId="30" applyFont="1" applyFill="1" applyBorder="1"/>
    <xf numFmtId="0" fontId="90" fillId="0" borderId="2" xfId="30" applyFont="1" applyBorder="1"/>
    <xf numFmtId="0" fontId="88" fillId="0" borderId="2" xfId="30" applyFont="1" applyFill="1" applyBorder="1" applyAlignment="1">
      <alignment horizontal="center"/>
    </xf>
    <xf numFmtId="0" fontId="17" fillId="0" borderId="2" xfId="30" applyFont="1" applyBorder="1"/>
    <xf numFmtId="0" fontId="17" fillId="0" borderId="2" xfId="30" applyFont="1" applyFill="1" applyBorder="1"/>
    <xf numFmtId="0" fontId="90" fillId="0" borderId="0" xfId="30" applyFont="1"/>
    <xf numFmtId="0" fontId="91" fillId="0" borderId="0" xfId="30" applyFont="1"/>
    <xf numFmtId="43" fontId="17" fillId="25" borderId="2" xfId="30" applyNumberFormat="1" applyFont="1" applyFill="1" applyBorder="1"/>
    <xf numFmtId="0" fontId="16" fillId="0" borderId="2" xfId="30" applyFont="1" applyBorder="1"/>
    <xf numFmtId="0" fontId="92" fillId="0" borderId="0" xfId="30" applyFont="1"/>
    <xf numFmtId="4" fontId="29"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17" fillId="0" borderId="0" xfId="30" applyFont="1" applyFill="1" applyAlignment="1">
      <alignment horizontal="center"/>
    </xf>
    <xf numFmtId="0" fontId="17" fillId="0" borderId="0" xfId="30" applyFont="1" applyFill="1"/>
    <xf numFmtId="0" fontId="85" fillId="30" borderId="0" xfId="30" applyFont="1" applyFill="1"/>
    <xf numFmtId="43" fontId="17" fillId="24" borderId="2" xfId="30" applyNumberFormat="1" applyFont="1" applyFill="1" applyBorder="1"/>
    <xf numFmtId="0" fontId="95" fillId="14" borderId="0" xfId="30" applyFont="1" applyFill="1"/>
    <xf numFmtId="0" fontId="0" fillId="0" borderId="0" xfId="0" applyFont="1" applyFill="1"/>
    <xf numFmtId="0" fontId="0" fillId="31" borderId="0" xfId="0" applyFont="1" applyFill="1"/>
    <xf numFmtId="0" fontId="17" fillId="25" borderId="2" xfId="31" applyNumberFormat="1" applyFont="1" applyFill="1" applyBorder="1"/>
    <xf numFmtId="0" fontId="17" fillId="24" borderId="2" xfId="30" applyFont="1" applyFill="1" applyBorder="1" applyAlignment="1">
      <alignment horizontal="center"/>
    </xf>
    <xf numFmtId="43" fontId="97" fillId="0" borderId="0" xfId="17" applyFont="1" applyFill="1" applyAlignment="1">
      <alignment horizontal="left" vertical="center"/>
    </xf>
    <xf numFmtId="0" fontId="17" fillId="25" borderId="2" xfId="30" applyFont="1" applyFill="1" applyBorder="1" applyAlignment="1">
      <alignment horizontal="center"/>
    </xf>
    <xf numFmtId="0" fontId="0" fillId="24" borderId="0" xfId="0" applyFont="1" applyFill="1"/>
    <xf numFmtId="0" fontId="17" fillId="30" borderId="2" xfId="30" applyFont="1" applyFill="1" applyBorder="1" applyAlignment="1">
      <alignment horizontal="center"/>
    </xf>
    <xf numFmtId="43" fontId="17" fillId="30" borderId="2" xfId="30" applyNumberFormat="1" applyFont="1" applyFill="1" applyBorder="1" applyAlignment="1">
      <alignment horizontal="center"/>
    </xf>
    <xf numFmtId="0" fontId="17" fillId="30" borderId="2" xfId="30" applyFont="1" applyFill="1" applyBorder="1"/>
    <xf numFmtId="43" fontId="17" fillId="0" borderId="2" xfId="30" applyNumberFormat="1" applyFont="1" applyFill="1" applyBorder="1"/>
    <xf numFmtId="4" fontId="17" fillId="25" borderId="2" xfId="30" applyNumberFormat="1" applyFont="1" applyFill="1" applyBorder="1"/>
    <xf numFmtId="4" fontId="17" fillId="25" borderId="102" xfId="30" applyNumberFormat="1" applyFont="1" applyFill="1" applyBorder="1"/>
    <xf numFmtId="0" fontId="17" fillId="25" borderId="2" xfId="30" applyFont="1" applyFill="1" applyBorder="1"/>
    <xf numFmtId="0" fontId="17" fillId="14" borderId="2" xfId="30" applyFont="1" applyFill="1" applyBorder="1" applyAlignment="1">
      <alignment horizontal="center"/>
    </xf>
    <xf numFmtId="0" fontId="17" fillId="14" borderId="2" xfId="30" applyFont="1" applyFill="1" applyBorder="1" applyAlignment="1">
      <alignment horizontal="left"/>
    </xf>
    <xf numFmtId="0" fontId="15" fillId="0" borderId="0" xfId="30" applyFont="1"/>
    <xf numFmtId="0" fontId="14" fillId="14" borderId="0" xfId="30" applyFont="1" applyFill="1" applyAlignment="1">
      <alignment horizontal="center"/>
    </xf>
    <xf numFmtId="0" fontId="13" fillId="0" borderId="0" xfId="30" applyFont="1"/>
    <xf numFmtId="0" fontId="13"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2" fillId="0" borderId="0" xfId="30" applyFont="1"/>
    <xf numFmtId="43" fontId="12" fillId="0" borderId="2" xfId="30" applyNumberFormat="1" applyFont="1" applyFill="1" applyBorder="1"/>
    <xf numFmtId="43" fontId="90" fillId="0" borderId="2" xfId="30" applyNumberFormat="1" applyFont="1" applyFill="1" applyBorder="1"/>
    <xf numFmtId="43" fontId="17" fillId="0" borderId="0" xfId="30" applyNumberFormat="1" applyFont="1"/>
    <xf numFmtId="0" fontId="11" fillId="0" borderId="0" xfId="30" applyFont="1"/>
    <xf numFmtId="43" fontId="13" fillId="0" borderId="0" xfId="30" applyNumberFormat="1" applyFont="1"/>
    <xf numFmtId="8" fontId="92" fillId="0" borderId="0" xfId="30" applyNumberFormat="1" applyFont="1"/>
    <xf numFmtId="4" fontId="29" fillId="0" borderId="0" xfId="0" applyNumberFormat="1" applyFont="1" applyAlignment="1" applyProtection="1">
      <alignment vertical="center"/>
      <protection hidden="1"/>
    </xf>
    <xf numFmtId="0" fontId="17" fillId="0" borderId="2" xfId="30" applyFont="1" applyBorder="1" applyAlignment="1">
      <alignment horizontal="left"/>
    </xf>
    <xf numFmtId="0" fontId="12" fillId="14" borderId="0" xfId="30" applyFont="1" applyFill="1"/>
    <xf numFmtId="0" fontId="17" fillId="14" borderId="0" xfId="30" applyFont="1" applyFill="1" applyBorder="1" applyAlignment="1">
      <alignment horizontal="center"/>
    </xf>
    <xf numFmtId="43" fontId="17" fillId="0" borderId="0" xfId="30" applyNumberFormat="1" applyFont="1" applyFill="1" applyBorder="1"/>
    <xf numFmtId="0" fontId="90" fillId="0" borderId="105" xfId="30" applyFont="1" applyFill="1" applyBorder="1"/>
    <xf numFmtId="0" fontId="10" fillId="0" borderId="0" xfId="30" applyFont="1"/>
    <xf numFmtId="10" fontId="29"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17" fillId="0" borderId="2" xfId="30" applyFont="1" applyBorder="1" applyAlignment="1">
      <alignment horizontal="left"/>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29" fillId="0" borderId="0" xfId="0" applyFont="1" applyFill="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7" fillId="0" borderId="0" xfId="30" applyFont="1" applyBorder="1" applyAlignment="1">
      <alignment horizontal="center"/>
    </xf>
    <xf numFmtId="0" fontId="17" fillId="0" borderId="0" xfId="30" applyFont="1" applyBorder="1" applyAlignment="1">
      <alignment horizontal="left"/>
    </xf>
    <xf numFmtId="0" fontId="100" fillId="0" borderId="0" xfId="0" applyFont="1"/>
    <xf numFmtId="43" fontId="30" fillId="0" borderId="107" xfId="17" applyFont="1" applyFill="1" applyBorder="1" applyAlignment="1" applyProtection="1">
      <alignment horizontal="center" vertical="center" wrapText="1"/>
      <protection hidden="1"/>
    </xf>
    <xf numFmtId="2" fontId="53" fillId="0" borderId="107" xfId="0" applyNumberFormat="1"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53" fillId="0" borderId="106" xfId="0" applyNumberFormat="1" applyFont="1" applyFill="1" applyBorder="1" applyAlignment="1" applyProtection="1">
      <alignment horizontal="right" vertical="center" wrapText="1"/>
      <protection hidden="1"/>
    </xf>
    <xf numFmtId="43" fontId="30" fillId="12" borderId="107" xfId="17" applyFont="1" applyFill="1" applyBorder="1" applyAlignment="1" applyProtection="1">
      <alignment horizontal="center" vertical="center" wrapText="1"/>
      <protection hidden="1"/>
    </xf>
    <xf numFmtId="2" fontId="30" fillId="0" borderId="107" xfId="0" applyNumberFormat="1"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34" fillId="0" borderId="107" xfId="0" applyNumberFormat="1" applyFont="1" applyFill="1" applyBorder="1" applyAlignment="1" applyProtection="1">
      <alignment horizontal="center" vertical="center" wrapText="1"/>
      <protection hidden="1"/>
    </xf>
    <xf numFmtId="2" fontId="53" fillId="0" borderId="107" xfId="0" applyNumberFormat="1" applyFont="1" applyFill="1" applyBorder="1" applyAlignment="1" applyProtection="1">
      <alignment horizontal="center" vertical="center" wrapText="1"/>
      <protection hidden="1"/>
    </xf>
    <xf numFmtId="43" fontId="30" fillId="12" borderId="109" xfId="17" applyFont="1" applyFill="1" applyBorder="1" applyAlignment="1" applyProtection="1">
      <alignment horizontal="center" vertical="center" wrapText="1"/>
      <protection hidden="1"/>
    </xf>
    <xf numFmtId="2" fontId="53" fillId="0" borderId="109" xfId="0" applyNumberFormat="1" applyFont="1" applyFill="1" applyBorder="1" applyAlignment="1" applyProtection="1">
      <alignment horizontal="right" vertical="center" wrapText="1"/>
      <protection hidden="1"/>
    </xf>
    <xf numFmtId="2" fontId="30" fillId="0" borderId="109" xfId="0" applyNumberFormat="1" applyFont="1" applyFill="1" applyBorder="1" applyAlignment="1" applyProtection="1">
      <alignment horizontal="center" vertical="center" wrapText="1"/>
      <protection hidden="1"/>
    </xf>
    <xf numFmtId="2" fontId="29" fillId="0" borderId="109" xfId="0" applyNumberFormat="1" applyFont="1" applyFill="1" applyBorder="1" applyAlignment="1" applyProtection="1">
      <alignment horizontal="center" vertical="center" wrapText="1"/>
      <protection hidden="1"/>
    </xf>
    <xf numFmtId="2" fontId="34" fillId="0" borderId="109" xfId="0" applyNumberFormat="1" applyFont="1" applyFill="1" applyBorder="1" applyAlignment="1" applyProtection="1">
      <alignment horizontal="center" vertical="center" wrapText="1"/>
      <protection hidden="1"/>
    </xf>
    <xf numFmtId="2" fontId="53" fillId="0" borderId="109" xfId="0" applyNumberFormat="1" applyFont="1" applyFill="1" applyBorder="1" applyAlignment="1" applyProtection="1">
      <alignment horizontal="center" vertical="center" wrapText="1"/>
      <protection hidden="1"/>
    </xf>
    <xf numFmtId="2" fontId="53" fillId="0" borderId="110" xfId="0" applyNumberFormat="1" applyFont="1" applyFill="1" applyBorder="1" applyAlignment="1" applyProtection="1">
      <alignment horizontal="right" vertical="center" wrapText="1"/>
      <protection hidden="1"/>
    </xf>
    <xf numFmtId="4" fontId="29" fillId="0" borderId="61" xfId="0" applyNumberFormat="1" applyFont="1" applyFill="1" applyBorder="1" applyAlignment="1" applyProtection="1">
      <alignment horizontal="right" vertical="center"/>
      <protection hidden="1"/>
    </xf>
    <xf numFmtId="4" fontId="30" fillId="0" borderId="61" xfId="0" applyNumberFormat="1" applyFont="1" applyFill="1" applyBorder="1" applyAlignment="1" applyProtection="1">
      <alignment horizontal="right" vertical="center"/>
      <protection hidden="1"/>
    </xf>
    <xf numFmtId="4" fontId="29" fillId="2" borderId="61" xfId="0" applyNumberFormat="1" applyFont="1" applyFill="1" applyBorder="1" applyAlignment="1" applyProtection="1">
      <alignment horizontal="center" vertical="center"/>
      <protection hidden="1"/>
    </xf>
    <xf numFmtId="4" fontId="29" fillId="2" borderId="62" xfId="0" applyNumberFormat="1" applyFont="1" applyFill="1" applyBorder="1" applyAlignment="1" applyProtection="1">
      <alignment horizontal="right" vertical="center"/>
      <protection hidden="1"/>
    </xf>
    <xf numFmtId="0" fontId="51" fillId="5" borderId="107" xfId="0" quotePrefix="1" applyFont="1" applyFill="1" applyBorder="1" applyAlignment="1" applyProtection="1">
      <alignment horizontal="center" vertical="center" wrapText="1"/>
      <protection hidden="1"/>
    </xf>
    <xf numFmtId="9" fontId="51" fillId="5" borderId="107" xfId="0" quotePrefix="1" applyNumberFormat="1" applyFont="1" applyFill="1" applyBorder="1" applyAlignment="1" applyProtection="1">
      <alignment horizontal="center" vertical="center" wrapText="1"/>
      <protection hidden="1"/>
    </xf>
    <xf numFmtId="43" fontId="30" fillId="0" borderId="107" xfId="17" applyFont="1" applyFill="1" applyBorder="1" applyAlignment="1" applyProtection="1">
      <alignment horizontal="right" vertical="center" wrapText="1"/>
      <protection hidden="1"/>
    </xf>
    <xf numFmtId="43" fontId="31" fillId="0" borderId="107" xfId="17" applyFont="1" applyFill="1" applyBorder="1" applyAlignment="1" applyProtection="1">
      <alignment vertical="center" wrapText="1"/>
      <protection hidden="1"/>
    </xf>
    <xf numFmtId="2" fontId="30" fillId="0" borderId="107" xfId="0" quotePrefix="1" applyNumberFormat="1" applyFont="1" applyFill="1" applyBorder="1" applyAlignment="1" applyProtection="1">
      <alignment horizontal="right" vertical="center" wrapText="1"/>
      <protection hidden="1"/>
    </xf>
    <xf numFmtId="43" fontId="30" fillId="0" borderId="106" xfId="17" applyFont="1" applyFill="1" applyBorder="1" applyAlignment="1" applyProtection="1">
      <alignment horizontal="right" vertical="center" wrapText="1"/>
      <protection hidden="1"/>
    </xf>
    <xf numFmtId="0" fontId="51" fillId="32" borderId="45" xfId="0" quotePrefix="1" applyFont="1" applyFill="1" applyBorder="1" applyAlignment="1" applyProtection="1">
      <alignment horizontal="center" vertical="center" wrapText="1"/>
      <protection hidden="1"/>
    </xf>
    <xf numFmtId="9" fontId="51" fillId="32" borderId="4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0" fillId="0" borderId="111" xfId="17" applyFont="1" applyFill="1" applyBorder="1" applyAlignment="1" applyProtection="1">
      <alignment vertical="center" wrapText="1"/>
      <protection hidden="1"/>
    </xf>
    <xf numFmtId="43" fontId="30" fillId="0" borderId="111" xfId="17" applyFont="1" applyFill="1" applyBorder="1" applyAlignment="1" applyProtection="1">
      <alignment horizontal="center" vertical="center" wrapText="1"/>
      <protection hidden="1"/>
    </xf>
    <xf numFmtId="43" fontId="30" fillId="0" borderId="111" xfId="17" applyFont="1" applyFill="1" applyBorder="1" applyAlignment="1" applyProtection="1">
      <alignment horizontal="right" vertical="center" wrapText="1"/>
      <protection hidden="1"/>
    </xf>
    <xf numFmtId="43" fontId="31" fillId="0" borderId="111" xfId="17" applyFont="1" applyFill="1" applyBorder="1" applyAlignment="1" applyProtection="1">
      <alignment vertical="center" wrapText="1"/>
      <protection hidden="1"/>
    </xf>
    <xf numFmtId="2" fontId="30" fillId="0" borderId="111" xfId="0" quotePrefix="1" applyNumberFormat="1" applyFont="1" applyFill="1" applyBorder="1" applyAlignment="1" applyProtection="1">
      <alignment horizontal="right" vertical="center" wrapText="1"/>
      <protection hidden="1"/>
    </xf>
    <xf numFmtId="43" fontId="30" fillId="0" borderId="73" xfId="17" applyFont="1" applyFill="1" applyBorder="1" applyAlignment="1" applyProtection="1">
      <alignment vertical="center" wrapText="1"/>
      <protection hidden="1"/>
    </xf>
    <xf numFmtId="4" fontId="29" fillId="23" borderId="61" xfId="0" applyNumberFormat="1" applyFont="1" applyFill="1" applyBorder="1" applyAlignment="1" applyProtection="1">
      <alignment vertical="center"/>
      <protection hidden="1"/>
    </xf>
    <xf numFmtId="4" fontId="29" fillId="12" borderId="61" xfId="0" applyNumberFormat="1" applyFont="1" applyFill="1" applyBorder="1" applyAlignment="1" applyProtection="1">
      <alignment vertical="center"/>
      <protection hidden="1"/>
    </xf>
    <xf numFmtId="4" fontId="29" fillId="0" borderId="61" xfId="0" applyNumberFormat="1" applyFont="1" applyFill="1" applyBorder="1" applyAlignment="1" applyProtection="1">
      <alignment vertical="center"/>
      <protection hidden="1"/>
    </xf>
    <xf numFmtId="4" fontId="29" fillId="2" borderId="61" xfId="0" applyNumberFormat="1" applyFont="1" applyFill="1" applyBorder="1" applyAlignment="1" applyProtection="1">
      <alignment vertical="center"/>
      <protection hidden="1"/>
    </xf>
    <xf numFmtId="4" fontId="54" fillId="5" borderId="61" xfId="0" applyNumberFormat="1" applyFont="1" applyFill="1" applyBorder="1" applyAlignment="1" applyProtection="1">
      <alignment vertical="center"/>
      <protection hidden="1"/>
    </xf>
    <xf numFmtId="4" fontId="29" fillId="0" borderId="61" xfId="0" applyNumberFormat="1" applyFont="1" applyFill="1" applyBorder="1" applyAlignment="1" applyProtection="1">
      <alignment horizontal="center" vertical="center"/>
      <protection hidden="1"/>
    </xf>
    <xf numFmtId="0" fontId="9" fillId="14" borderId="0" xfId="30" applyFont="1" applyFill="1"/>
    <xf numFmtId="0" fontId="90" fillId="14" borderId="0" xfId="30" applyFont="1" applyFill="1" applyBorder="1" applyAlignment="1">
      <alignment horizontal="center"/>
    </xf>
    <xf numFmtId="0" fontId="90" fillId="0" borderId="0" xfId="30" applyFont="1" applyBorder="1" applyAlignment="1">
      <alignment horizontal="center"/>
    </xf>
    <xf numFmtId="0" fontId="90" fillId="0" borderId="0" xfId="30" applyFont="1" applyBorder="1" applyAlignment="1">
      <alignment horizontal="left"/>
    </xf>
    <xf numFmtId="43" fontId="90" fillId="0" borderId="0" xfId="30" applyNumberFormat="1" applyFont="1" applyFill="1" applyBorder="1"/>
    <xf numFmtId="0" fontId="17" fillId="0" borderId="2" xfId="30" applyFont="1" applyBorder="1" applyAlignment="1">
      <alignment horizontal="left"/>
    </xf>
    <xf numFmtId="4" fontId="29" fillId="27" borderId="4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29" fillId="2" borderId="0" xfId="0" applyNumberFormat="1" applyFont="1" applyFill="1" applyAlignment="1" applyProtection="1">
      <alignment vertical="center"/>
      <protection hidden="1"/>
    </xf>
    <xf numFmtId="9" fontId="29" fillId="0" borderId="0" xfId="25" applyFont="1" applyAlignment="1" applyProtection="1">
      <alignment vertical="center"/>
      <protection hidden="1"/>
    </xf>
    <xf numFmtId="9" fontId="52" fillId="0" borderId="0" xfId="25" applyFont="1" applyAlignment="1" applyProtection="1">
      <alignment vertical="center"/>
      <protection hidden="1"/>
    </xf>
    <xf numFmtId="164" fontId="29" fillId="0" borderId="0" xfId="0" applyNumberFormat="1" applyFont="1" applyFill="1" applyBorder="1" applyAlignment="1" applyProtection="1">
      <alignment vertical="center"/>
      <protection hidden="1"/>
    </xf>
    <xf numFmtId="43" fontId="29" fillId="0" borderId="0" xfId="0" applyNumberFormat="1" applyFont="1" applyFill="1" applyBorder="1" applyAlignment="1" applyProtection="1">
      <alignment vertical="center"/>
      <protection hidden="1"/>
    </xf>
    <xf numFmtId="174" fontId="29" fillId="0" borderId="0" xfId="0" applyNumberFormat="1" applyFont="1" applyFill="1" applyBorder="1" applyAlignment="1" applyProtection="1">
      <alignment vertical="center"/>
      <protection hidden="1"/>
    </xf>
    <xf numFmtId="43" fontId="29" fillId="0" borderId="0" xfId="25" applyNumberFormat="1" applyFont="1" applyFill="1" applyBorder="1" applyAlignment="1" applyProtection="1">
      <alignment vertical="center"/>
      <protection hidden="1"/>
    </xf>
    <xf numFmtId="176" fontId="29" fillId="0" borderId="0" xfId="25" applyNumberFormat="1" applyFont="1" applyFill="1" applyBorder="1" applyAlignment="1" applyProtection="1">
      <alignment vertical="center"/>
      <protection hidden="1"/>
    </xf>
    <xf numFmtId="41" fontId="29" fillId="0" borderId="0" xfId="31" applyFont="1" applyFill="1" applyBorder="1" applyAlignment="1" applyProtection="1">
      <alignment vertical="center"/>
      <protection hidden="1"/>
    </xf>
    <xf numFmtId="175" fontId="29"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0" fillId="12" borderId="0" xfId="0" applyFont="1" applyFill="1"/>
    <xf numFmtId="0" fontId="8" fillId="0" borderId="0" xfId="30" applyFont="1"/>
    <xf numFmtId="0" fontId="90" fillId="0" borderId="0" xfId="30" applyFont="1" applyFill="1" applyBorder="1"/>
    <xf numFmtId="4" fontId="17" fillId="25" borderId="0" xfId="30" applyNumberFormat="1" applyFont="1" applyFill="1" applyBorder="1"/>
    <xf numFmtId="4" fontId="55" fillId="2" borderId="2" xfId="0" applyNumberFormat="1" applyFont="1" applyFill="1" applyBorder="1" applyAlignment="1" applyProtection="1">
      <alignment vertical="center"/>
      <protection hidden="1"/>
    </xf>
    <xf numFmtId="43" fontId="29" fillId="2" borderId="0" xfId="17" applyFont="1" applyFill="1" applyAlignment="1" applyProtection="1">
      <alignment vertical="center"/>
      <protection hidden="1"/>
    </xf>
    <xf numFmtId="9" fontId="29"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1"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60"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29" fillId="12" borderId="0" xfId="17" applyFont="1" applyFill="1" applyBorder="1" applyAlignment="1" applyProtection="1">
      <alignment horizontal="center" vertical="center"/>
      <protection hidden="1"/>
    </xf>
    <xf numFmtId="4" fontId="94" fillId="25" borderId="2" xfId="0" applyNumberFormat="1" applyFont="1" applyFill="1" applyBorder="1" applyAlignment="1" applyProtection="1">
      <alignment vertical="center"/>
      <protection hidden="1"/>
    </xf>
    <xf numFmtId="0" fontId="29" fillId="14" borderId="0" xfId="0" applyFont="1" applyFill="1" applyAlignment="1" applyProtection="1">
      <alignment vertical="center"/>
      <protection hidden="1"/>
    </xf>
    <xf numFmtId="0" fontId="29" fillId="33" borderId="0" xfId="0" applyFont="1" applyFill="1" applyAlignment="1" applyProtection="1">
      <alignment vertical="center"/>
      <protection hidden="1"/>
    </xf>
    <xf numFmtId="43" fontId="30" fillId="0" borderId="109" xfId="17" applyFont="1" applyFill="1" applyBorder="1" applyAlignment="1" applyProtection="1">
      <alignment horizontal="center" vertical="center" wrapText="1"/>
      <protection hidden="1"/>
    </xf>
    <xf numFmtId="2" fontId="53" fillId="0" borderId="112" xfId="0" applyNumberFormat="1" applyFont="1" applyFill="1" applyBorder="1" applyAlignment="1" applyProtection="1">
      <alignment horizontal="right" vertical="center" wrapText="1"/>
      <protection hidden="1"/>
    </xf>
    <xf numFmtId="0" fontId="0" fillId="14" borderId="0" xfId="0" applyFill="1"/>
    <xf numFmtId="167" fontId="29" fillId="14" borderId="0" xfId="17" applyNumberFormat="1" applyFont="1" applyFill="1" applyBorder="1" applyAlignment="1" applyProtection="1">
      <alignment horizontal="center" vertical="center"/>
      <protection hidden="1"/>
    </xf>
    <xf numFmtId="167" fontId="29" fillId="12" borderId="0" xfId="17" applyNumberFormat="1" applyFont="1" applyFill="1" applyBorder="1" applyAlignment="1" applyProtection="1">
      <alignment horizontal="left" vertical="center"/>
      <protection hidden="1"/>
    </xf>
    <xf numFmtId="43" fontId="29" fillId="33" borderId="0" xfId="17" applyNumberFormat="1" applyFont="1" applyFill="1" applyBorder="1" applyAlignment="1" applyProtection="1">
      <alignment horizontal="center" vertical="center"/>
      <protection hidden="1"/>
    </xf>
    <xf numFmtId="0" fontId="29" fillId="24" borderId="0" xfId="0" applyFont="1" applyFill="1" applyBorder="1" applyAlignment="1" applyProtection="1">
      <alignment vertical="center"/>
      <protection hidden="1"/>
    </xf>
    <xf numFmtId="43" fontId="29" fillId="14" borderId="0" xfId="17" applyFont="1" applyFill="1" applyAlignment="1" applyProtection="1">
      <alignment vertical="center"/>
      <protection hidden="1"/>
    </xf>
    <xf numFmtId="0" fontId="52" fillId="14" borderId="0" xfId="0" applyFont="1" applyFill="1" applyAlignment="1" applyProtection="1">
      <alignment vertical="center"/>
      <protection hidden="1"/>
    </xf>
    <xf numFmtId="0" fontId="29" fillId="34" borderId="0" xfId="0" applyFont="1" applyFill="1" applyBorder="1" applyAlignment="1" applyProtection="1">
      <alignment vertical="center"/>
      <protection hidden="1"/>
    </xf>
    <xf numFmtId="43" fontId="30" fillId="35" borderId="41" xfId="17" applyNumberFormat="1" applyFont="1" applyFill="1" applyBorder="1" applyAlignment="1" applyProtection="1">
      <alignment horizontal="center" vertical="center" wrapText="1"/>
      <protection hidden="1"/>
    </xf>
    <xf numFmtId="43" fontId="30" fillId="35" borderId="41" xfId="17" applyFont="1" applyFill="1" applyBorder="1" applyAlignment="1" applyProtection="1">
      <alignment vertical="center" wrapText="1"/>
      <protection hidden="1"/>
    </xf>
    <xf numFmtId="43" fontId="30" fillId="35" borderId="41" xfId="17" applyNumberFormat="1" applyFont="1" applyFill="1" applyBorder="1" applyAlignment="1" applyProtection="1">
      <alignment vertical="center" wrapText="1"/>
      <protection hidden="1"/>
    </xf>
    <xf numFmtId="43" fontId="30" fillId="35" borderId="45" xfId="17" applyFont="1" applyFill="1" applyBorder="1" applyAlignment="1" applyProtection="1">
      <alignment horizontal="center" vertical="center" wrapText="1"/>
      <protection hidden="1"/>
    </xf>
    <xf numFmtId="43" fontId="30" fillId="35" borderId="45" xfId="17" applyFont="1" applyFill="1" applyBorder="1" applyAlignment="1" applyProtection="1">
      <alignment horizontal="right" vertical="center" wrapText="1"/>
      <protection hidden="1"/>
    </xf>
    <xf numFmtId="43" fontId="30" fillId="35" borderId="41" xfId="17" applyFont="1" applyFill="1" applyBorder="1" applyAlignment="1" applyProtection="1">
      <alignment horizontal="center" vertical="center" wrapText="1"/>
      <protection hidden="1"/>
    </xf>
    <xf numFmtId="43" fontId="30" fillId="35" borderId="45" xfId="17" applyNumberFormat="1" applyFont="1" applyFill="1" applyBorder="1" applyAlignment="1" applyProtection="1">
      <alignment horizontal="center" vertical="center" wrapText="1"/>
      <protection hidden="1"/>
    </xf>
    <xf numFmtId="43" fontId="30" fillId="35" borderId="57" xfId="17" applyNumberFormat="1" applyFont="1" applyFill="1" applyBorder="1" applyAlignment="1" applyProtection="1">
      <alignment horizontal="center" vertical="center" wrapText="1"/>
      <protection hidden="1"/>
    </xf>
    <xf numFmtId="43" fontId="29" fillId="0" borderId="41" xfId="17" applyFont="1" applyFill="1" applyBorder="1" applyAlignment="1" applyProtection="1">
      <alignment horizontal="right" vertical="center"/>
      <protection hidden="1"/>
    </xf>
    <xf numFmtId="0" fontId="7" fillId="33" borderId="0" xfId="30" applyFont="1" applyFill="1"/>
    <xf numFmtId="172" fontId="108" fillId="14" borderId="0" xfId="0" applyNumberFormat="1" applyFont="1" applyFill="1" applyAlignment="1" applyProtection="1">
      <alignment vertical="center"/>
      <protection hidden="1"/>
    </xf>
    <xf numFmtId="0" fontId="26" fillId="14" borderId="0" xfId="0" applyFont="1" applyFill="1" applyAlignment="1" applyProtection="1">
      <alignment vertical="center"/>
      <protection hidden="1"/>
    </xf>
    <xf numFmtId="171" fontId="98" fillId="0" borderId="65" xfId="17" applyNumberFormat="1" applyFont="1" applyFill="1" applyBorder="1" applyAlignment="1" applyProtection="1">
      <alignment horizontal="center" vertical="center" wrapText="1"/>
      <protection hidden="1"/>
    </xf>
    <xf numFmtId="171" fontId="98"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9" fillId="0" borderId="0" xfId="33"/>
    <xf numFmtId="0" fontId="18" fillId="0" borderId="0" xfId="0" applyFont="1"/>
    <xf numFmtId="0" fontId="18" fillId="0" borderId="0" xfId="0" applyFont="1" applyFill="1" applyBorder="1"/>
    <xf numFmtId="0" fontId="0" fillId="36" borderId="2" xfId="0" applyFill="1" applyBorder="1" applyAlignment="1">
      <alignment horizontal="center"/>
    </xf>
    <xf numFmtId="0" fontId="44"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4" fillId="0" borderId="0" xfId="0" applyFont="1"/>
    <xf numFmtId="0" fontId="44" fillId="0" borderId="115" xfId="0" applyFont="1" applyBorder="1"/>
    <xf numFmtId="0" fontId="0" fillId="0" borderId="115" xfId="0" applyBorder="1"/>
    <xf numFmtId="0" fontId="18" fillId="0" borderId="115" xfId="0" applyFont="1" applyBorder="1"/>
    <xf numFmtId="0" fontId="44" fillId="36" borderId="105" xfId="0" applyFont="1" applyFill="1" applyBorder="1" applyAlignment="1">
      <alignment vertical="center"/>
    </xf>
    <xf numFmtId="0" fontId="18" fillId="0" borderId="116" xfId="0" applyFont="1" applyBorder="1"/>
    <xf numFmtId="0" fontId="18" fillId="0" borderId="116" xfId="0" applyFont="1" applyFill="1" applyBorder="1"/>
    <xf numFmtId="0" fontId="44"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4" fillId="36" borderId="105" xfId="0" applyFont="1" applyFill="1" applyBorder="1" applyAlignment="1">
      <alignment horizontal="center" vertical="center"/>
    </xf>
    <xf numFmtId="0" fontId="0" fillId="0" borderId="116" xfId="0" applyBorder="1" applyAlignment="1">
      <alignment horizontal="center"/>
    </xf>
    <xf numFmtId="0" fontId="44" fillId="36" borderId="100" xfId="0" applyFont="1" applyFill="1" applyBorder="1" applyAlignment="1">
      <alignment horizontal="center"/>
    </xf>
    <xf numFmtId="0" fontId="44" fillId="36" borderId="114" xfId="0" applyFont="1" applyFill="1" applyBorder="1" applyAlignment="1">
      <alignment vertical="center"/>
    </xf>
    <xf numFmtId="0" fontId="18" fillId="38" borderId="116" xfId="0" applyFont="1" applyFill="1" applyBorder="1"/>
    <xf numFmtId="0" fontId="44" fillId="36" borderId="89" xfId="0" applyFont="1" applyFill="1" applyBorder="1" applyAlignment="1">
      <alignment horizontal="center"/>
    </xf>
    <xf numFmtId="0" fontId="44" fillId="36" borderId="90" xfId="0" applyFont="1" applyFill="1" applyBorder="1" applyAlignment="1">
      <alignment horizontal="center"/>
    </xf>
    <xf numFmtId="41" fontId="18"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4" fillId="36" borderId="100" xfId="0" applyFont="1" applyFill="1" applyBorder="1" applyAlignment="1">
      <alignment horizontal="right" indent="1"/>
    </xf>
    <xf numFmtId="0" fontId="44" fillId="36" borderId="105" xfId="0" applyFont="1" applyFill="1" applyBorder="1" applyAlignment="1">
      <alignment horizontal="right" indent="1"/>
    </xf>
    <xf numFmtId="2" fontId="97" fillId="0" borderId="116"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2" fillId="0" borderId="0" xfId="0" applyNumberFormat="1" applyFont="1" applyBorder="1" applyAlignment="1" applyProtection="1">
      <alignment vertical="center"/>
      <protection hidden="1"/>
    </xf>
    <xf numFmtId="0" fontId="29" fillId="33" borderId="0" xfId="0" applyFont="1" applyFill="1" applyBorder="1" applyAlignment="1" applyProtection="1">
      <alignment vertical="center"/>
      <protection hidden="1"/>
    </xf>
    <xf numFmtId="0" fontId="6" fillId="33" borderId="0" xfId="30" applyFont="1" applyFill="1"/>
    <xf numFmtId="2" fontId="29" fillId="33" borderId="0" xfId="0" applyNumberFormat="1" applyFont="1" applyFill="1" applyAlignment="1" applyProtection="1">
      <alignment vertical="center"/>
      <protection hidden="1"/>
    </xf>
    <xf numFmtId="0" fontId="97" fillId="0" borderId="0" xfId="0" applyFont="1"/>
    <xf numFmtId="2" fontId="0" fillId="14" borderId="116" xfId="0" applyNumberFormat="1" applyFill="1" applyBorder="1" applyAlignment="1">
      <alignment horizontal="center"/>
    </xf>
    <xf numFmtId="177" fontId="77" fillId="14" borderId="0" xfId="32" applyNumberFormat="1" applyFont="1" applyFill="1" applyAlignment="1" applyProtection="1">
      <alignment vertical="center"/>
      <protection hidden="1"/>
    </xf>
    <xf numFmtId="0" fontId="29" fillId="40" borderId="0" xfId="0" applyFont="1" applyFill="1" applyBorder="1" applyAlignment="1" applyProtection="1">
      <alignment vertical="center"/>
      <protection hidden="1"/>
    </xf>
    <xf numFmtId="167" fontId="29" fillId="40" borderId="0" xfId="17" applyNumberFormat="1" applyFont="1" applyFill="1" applyBorder="1" applyAlignment="1" applyProtection="1">
      <alignment horizontal="left" vertical="center"/>
      <protection hidden="1"/>
    </xf>
    <xf numFmtId="0" fontId="29" fillId="40" borderId="0" xfId="0" applyFont="1" applyFill="1" applyBorder="1" applyAlignment="1" applyProtection="1">
      <alignment horizontal="center" vertical="center"/>
      <protection hidden="1"/>
    </xf>
    <xf numFmtId="0" fontId="5"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4"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8" fillId="33" borderId="2" xfId="17" applyFont="1" applyFill="1" applyBorder="1" applyAlignment="1">
      <alignment horizontal="center" vertical="center"/>
    </xf>
    <xf numFmtId="0" fontId="0" fillId="33" borderId="0" xfId="0" applyFill="1"/>
    <xf numFmtId="0" fontId="18" fillId="33" borderId="0" xfId="0" applyFont="1" applyFill="1"/>
    <xf numFmtId="2" fontId="0" fillId="33" borderId="116" xfId="0" applyNumberFormat="1" applyFill="1" applyBorder="1" applyAlignment="1">
      <alignment horizontal="center"/>
    </xf>
    <xf numFmtId="2" fontId="18" fillId="0" borderId="116" xfId="0" applyNumberFormat="1" applyFont="1" applyFill="1" applyBorder="1" applyAlignment="1">
      <alignment horizontal="center"/>
    </xf>
    <xf numFmtId="0" fontId="0" fillId="33" borderId="2" xfId="0" applyFill="1" applyBorder="1" applyAlignment="1">
      <alignment vertical="center"/>
    </xf>
    <xf numFmtId="43" fontId="0" fillId="0" borderId="0" xfId="17" applyFont="1" applyBorder="1" applyAlignment="1">
      <alignment horizontal="left" vertical="center"/>
    </xf>
    <xf numFmtId="0" fontId="18" fillId="0" borderId="0" xfId="0" applyFont="1" applyAlignment="1">
      <alignment vertical="center"/>
    </xf>
    <xf numFmtId="4" fontId="113" fillId="0" borderId="4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29"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29" fillId="33" borderId="0" xfId="17" applyNumberFormat="1" applyFont="1" applyFill="1" applyBorder="1" applyAlignment="1" applyProtection="1">
      <alignment horizontal="center" vertical="center"/>
      <protection hidden="1"/>
    </xf>
    <xf numFmtId="178" fontId="29"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4" fillId="2" borderId="0" xfId="24"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26" fillId="2" borderId="0" xfId="0" applyFont="1" applyFill="1" applyAlignment="1" applyProtection="1">
      <alignment horizontal="centerContinuous" vertical="center"/>
      <protection hidden="1"/>
    </xf>
    <xf numFmtId="0" fontId="117"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Border="1" applyAlignment="1" applyProtection="1">
      <alignment vertical="top" wrapText="1"/>
      <protection hidden="1"/>
    </xf>
    <xf numFmtId="41" fontId="17" fillId="0" borderId="0" xfId="31" applyFont="1"/>
    <xf numFmtId="9" fontId="0" fillId="0" borderId="0" xfId="25" applyFont="1" applyAlignment="1">
      <alignment vertical="center"/>
    </xf>
    <xf numFmtId="0" fontId="3" fillId="0" borderId="0" xfId="30" applyFont="1"/>
    <xf numFmtId="167" fontId="0" fillId="0" borderId="0" xfId="0" applyNumberFormat="1"/>
    <xf numFmtId="0" fontId="55" fillId="0" borderId="0" xfId="0" applyFont="1" applyBorder="1" applyAlignment="1" applyProtection="1">
      <alignment vertical="center"/>
      <protection hidden="1"/>
    </xf>
    <xf numFmtId="173" fontId="112" fillId="0" borderId="0" xfId="0" applyNumberFormat="1" applyFont="1" applyBorder="1" applyAlignment="1" applyProtection="1">
      <alignment vertical="center"/>
      <protection hidden="1"/>
    </xf>
    <xf numFmtId="43" fontId="30" fillId="0" borderId="65" xfId="17" applyFont="1" applyFill="1" applyBorder="1" applyAlignment="1" applyProtection="1">
      <alignment vertical="center" wrapText="1"/>
      <protection hidden="1"/>
    </xf>
    <xf numFmtId="0" fontId="56" fillId="6" borderId="0" xfId="0" applyFont="1" applyFill="1" applyBorder="1" applyAlignment="1" applyProtection="1">
      <alignment horizontal="center" vertical="center"/>
      <protection hidden="1"/>
    </xf>
    <xf numFmtId="0" fontId="31" fillId="2" borderId="0" xfId="0" quotePrefix="1" applyFont="1" applyFill="1" applyBorder="1" applyAlignment="1" applyProtection="1">
      <alignment horizontal="left" vertical="center" wrapText="1"/>
      <protection hidden="1"/>
    </xf>
    <xf numFmtId="167" fontId="29" fillId="12" borderId="0" xfId="0" applyNumberFormat="1" applyFont="1" applyFill="1" applyBorder="1" applyAlignment="1" applyProtection="1">
      <alignment vertical="center"/>
      <protection hidden="1"/>
    </xf>
    <xf numFmtId="43" fontId="98" fillId="0" borderId="52" xfId="17" applyFont="1" applyFill="1" applyBorder="1" applyAlignment="1" applyProtection="1">
      <alignment horizontal="center" vertical="center" wrapText="1"/>
      <protection hidden="1"/>
    </xf>
    <xf numFmtId="43" fontId="30" fillId="0" borderId="52" xfId="17" applyFont="1" applyFill="1" applyBorder="1" applyAlignment="1" applyProtection="1">
      <alignment horizontal="center" vertical="center" wrapText="1"/>
      <protection hidden="1"/>
    </xf>
    <xf numFmtId="43" fontId="30" fillId="0" borderId="54" xfId="17" applyFont="1" applyFill="1" applyBorder="1" applyAlignment="1" applyProtection="1">
      <alignment vertical="center" wrapText="1"/>
      <protection hidden="1"/>
    </xf>
    <xf numFmtId="0" fontId="30" fillId="0" borderId="0" xfId="0" applyFont="1" applyAlignment="1" applyProtection="1">
      <alignment vertical="center"/>
      <protection hidden="1"/>
    </xf>
    <xf numFmtId="174" fontId="30" fillId="13" borderId="49" xfId="17" applyNumberFormat="1" applyFont="1" applyFill="1" applyBorder="1" applyAlignment="1" applyProtection="1">
      <alignment horizontal="center" vertical="center" wrapText="1"/>
      <protection hidden="1"/>
    </xf>
    <xf numFmtId="44" fontId="29" fillId="0" borderId="0" xfId="34" applyFont="1" applyFill="1" applyBorder="1" applyAlignment="1" applyProtection="1">
      <alignment vertical="center"/>
      <protection hidden="1"/>
    </xf>
    <xf numFmtId="43" fontId="29" fillId="0" borderId="0" xfId="0" applyNumberFormat="1" applyFont="1" applyBorder="1" applyAlignment="1" applyProtection="1">
      <alignment vertical="center"/>
      <protection hidden="1"/>
    </xf>
    <xf numFmtId="2" fontId="29" fillId="12" borderId="0" xfId="0" applyNumberFormat="1" applyFont="1" applyFill="1" applyBorder="1" applyAlignment="1" applyProtection="1">
      <alignment vertical="center"/>
      <protection hidden="1"/>
    </xf>
    <xf numFmtId="167" fontId="107" fillId="33" borderId="0" xfId="17" applyNumberFormat="1" applyFont="1" applyFill="1" applyBorder="1" applyAlignment="1" applyProtection="1">
      <alignment horizontal="center" vertical="center"/>
      <protection hidden="1"/>
    </xf>
    <xf numFmtId="3" fontId="29" fillId="2" borderId="44" xfId="0" applyNumberFormat="1" applyFont="1" applyFill="1" applyBorder="1" applyAlignment="1" applyProtection="1">
      <alignment horizontal="right" vertical="center"/>
      <protection hidden="1"/>
    </xf>
    <xf numFmtId="3" fontId="29" fillId="0" borderId="44" xfId="0" applyNumberFormat="1" applyFont="1" applyFill="1" applyBorder="1" applyAlignment="1" applyProtection="1">
      <alignment horizontal="right" vertical="center"/>
      <protection hidden="1"/>
    </xf>
    <xf numFmtId="3" fontId="29" fillId="0" borderId="62" xfId="0" applyNumberFormat="1" applyFont="1" applyFill="1" applyBorder="1" applyAlignment="1" applyProtection="1">
      <alignment horizontal="right" vertical="center"/>
      <protection hidden="1"/>
    </xf>
    <xf numFmtId="0" fontId="2" fillId="25" borderId="0" xfId="30" applyFont="1" applyFill="1"/>
    <xf numFmtId="179" fontId="29" fillId="0" borderId="0" xfId="34" applyNumberFormat="1" applyFont="1" applyBorder="1" applyAlignment="1" applyProtection="1">
      <alignment vertical="center"/>
      <protection hidden="1"/>
    </xf>
    <xf numFmtId="180" fontId="30" fillId="0" borderId="41" xfId="17" applyNumberFormat="1" applyFont="1" applyFill="1" applyBorder="1" applyAlignment="1" applyProtection="1">
      <alignment vertical="center" wrapText="1"/>
      <protection hidden="1"/>
    </xf>
    <xf numFmtId="0" fontId="1" fillId="25" borderId="0" xfId="30" applyFont="1" applyFill="1"/>
    <xf numFmtId="0" fontId="100" fillId="0" borderId="0" xfId="0" applyFont="1" applyFill="1"/>
    <xf numFmtId="180" fontId="30" fillId="13" borderId="49" xfId="17" applyNumberFormat="1" applyFont="1" applyFill="1" applyBorder="1" applyAlignment="1" applyProtection="1">
      <alignment horizontal="center" vertical="center" wrapText="1"/>
      <protection hidden="1"/>
    </xf>
    <xf numFmtId="3" fontId="29" fillId="0" borderId="44" xfId="0" quotePrefix="1" applyNumberFormat="1" applyFont="1" applyFill="1" applyBorder="1" applyAlignment="1" applyProtection="1">
      <alignment horizontal="right" vertical="center"/>
      <protection hidden="1"/>
    </xf>
    <xf numFmtId="0" fontId="12" fillId="0" borderId="92" xfId="30" applyFont="1" applyBorder="1" applyAlignment="1">
      <alignment horizontal="center"/>
    </xf>
    <xf numFmtId="0" fontId="12" fillId="0" borderId="93" xfId="30" applyFont="1" applyBorder="1" applyAlignment="1">
      <alignment horizontal="center"/>
    </xf>
    <xf numFmtId="0" fontId="85" fillId="0" borderId="2" xfId="30" applyFont="1" applyBorder="1" applyAlignment="1">
      <alignment horizontal="left" vertical="center"/>
    </xf>
    <xf numFmtId="0" fontId="86" fillId="0" borderId="99" xfId="30" applyFont="1" applyBorder="1" applyAlignment="1">
      <alignment horizontal="center" vertical="center"/>
    </xf>
    <xf numFmtId="0" fontId="84" fillId="0" borderId="89" xfId="30" applyFont="1" applyBorder="1" applyAlignment="1">
      <alignment horizontal="left"/>
    </xf>
    <xf numFmtId="0" fontId="84" fillId="0" borderId="90" xfId="30" applyFont="1" applyBorder="1" applyAlignment="1">
      <alignment horizontal="left"/>
    </xf>
    <xf numFmtId="0" fontId="84" fillId="0" borderId="100" xfId="30" applyFont="1" applyBorder="1" applyAlignment="1">
      <alignment horizontal="left"/>
    </xf>
    <xf numFmtId="0" fontId="84" fillId="0" borderId="93" xfId="30" applyFont="1" applyBorder="1" applyAlignment="1">
      <alignment horizontal="left"/>
    </xf>
    <xf numFmtId="0" fontId="84" fillId="0" borderId="94" xfId="30" applyFont="1" applyBorder="1" applyAlignment="1">
      <alignment horizontal="left"/>
    </xf>
    <xf numFmtId="0" fontId="84" fillId="0" borderId="101" xfId="30" applyFont="1" applyBorder="1" applyAlignment="1">
      <alignment horizontal="left"/>
    </xf>
    <xf numFmtId="0" fontId="85" fillId="0" borderId="2" xfId="30" applyFont="1" applyBorder="1" applyAlignment="1">
      <alignment horizontal="center" vertical="center"/>
    </xf>
    <xf numFmtId="0" fontId="17" fillId="0" borderId="2" xfId="30" applyFont="1" applyBorder="1" applyAlignment="1">
      <alignment horizontal="left"/>
    </xf>
    <xf numFmtId="0" fontId="17" fillId="29" borderId="2" xfId="30" applyFont="1" applyFill="1" applyBorder="1" applyAlignment="1">
      <alignment horizontal="left"/>
    </xf>
    <xf numFmtId="0" fontId="17" fillId="0" borderId="102" xfId="30" applyFont="1" applyBorder="1" applyAlignment="1">
      <alignment horizontal="left"/>
    </xf>
    <xf numFmtId="0" fontId="17" fillId="0" borderId="99" xfId="30" applyFont="1" applyBorder="1" applyAlignment="1">
      <alignment horizontal="center"/>
    </xf>
    <xf numFmtId="0" fontId="17" fillId="0" borderId="103" xfId="30" applyFont="1" applyBorder="1" applyAlignment="1">
      <alignment horizontal="center"/>
    </xf>
    <xf numFmtId="0" fontId="17" fillId="0" borderId="104" xfId="30" applyFont="1" applyBorder="1" applyAlignment="1">
      <alignment horizontal="center"/>
    </xf>
    <xf numFmtId="0" fontId="17" fillId="0" borderId="99" xfId="30" applyFont="1" applyBorder="1" applyAlignment="1">
      <alignment horizontal="left"/>
    </xf>
    <xf numFmtId="0" fontId="17" fillId="0" borderId="103" xfId="30" applyFont="1" applyBorder="1" applyAlignment="1">
      <alignment horizontal="left"/>
    </xf>
    <xf numFmtId="0" fontId="17" fillId="0" borderId="104" xfId="30" applyFont="1" applyBorder="1" applyAlignment="1">
      <alignment horizontal="left"/>
    </xf>
    <xf numFmtId="0" fontId="17" fillId="28" borderId="2" xfId="30" applyFont="1" applyFill="1" applyBorder="1" applyAlignment="1">
      <alignment horizontal="left"/>
    </xf>
    <xf numFmtId="0" fontId="17" fillId="29" borderId="105" xfId="30" applyFont="1" applyFill="1" applyBorder="1" applyAlignment="1">
      <alignment horizontal="left"/>
    </xf>
    <xf numFmtId="0" fontId="17" fillId="0" borderId="2" xfId="30" applyFont="1" applyBorder="1" applyAlignment="1">
      <alignment horizont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4" fillId="36" borderId="0" xfId="0" applyFont="1" applyFill="1" applyBorder="1" applyAlignment="1">
      <alignment horizontal="center"/>
    </xf>
    <xf numFmtId="0" fontId="44" fillId="36" borderId="113" xfId="0" applyFont="1" applyFill="1" applyBorder="1" applyAlignment="1">
      <alignment horizontal="center"/>
    </xf>
    <xf numFmtId="0" fontId="44" fillId="36" borderId="2" xfId="0" applyFont="1" applyFill="1" applyBorder="1" applyAlignment="1">
      <alignment horizontal="center"/>
    </xf>
    <xf numFmtId="0" fontId="44" fillId="0" borderId="0" xfId="0" applyFont="1" applyFill="1" applyBorder="1" applyAlignment="1">
      <alignment horizontal="center"/>
    </xf>
    <xf numFmtId="0" fontId="44" fillId="36" borderId="104" xfId="0" applyFont="1" applyFill="1" applyBorder="1" applyAlignment="1">
      <alignment horizontal="center"/>
    </xf>
    <xf numFmtId="0" fontId="18" fillId="0" borderId="89" xfId="21" applyBorder="1" applyAlignment="1">
      <alignment horizontal="center"/>
    </xf>
    <xf numFmtId="0" fontId="18" fillId="0" borderId="90" xfId="21" applyBorder="1" applyAlignment="1">
      <alignment horizontal="center"/>
    </xf>
    <xf numFmtId="0" fontId="18" fillId="0" borderId="91" xfId="21" applyBorder="1" applyAlignment="1">
      <alignment horizontal="center"/>
    </xf>
    <xf numFmtId="0" fontId="18" fillId="0" borderId="92" xfId="21" applyBorder="1" applyAlignment="1">
      <alignment horizontal="center"/>
    </xf>
    <xf numFmtId="0" fontId="18" fillId="0" borderId="0" xfId="21" applyBorder="1" applyAlignment="1">
      <alignment horizontal="center"/>
    </xf>
    <xf numFmtId="0" fontId="18" fillId="0" borderId="4" xfId="21" applyBorder="1" applyAlignment="1">
      <alignment horizontal="center"/>
    </xf>
    <xf numFmtId="0" fontId="18" fillId="0" borderId="93" xfId="21" applyBorder="1" applyAlignment="1">
      <alignment horizontal="center"/>
    </xf>
    <xf numFmtId="0" fontId="18" fillId="0" borderId="94" xfId="21" applyBorder="1" applyAlignment="1">
      <alignment horizontal="center"/>
    </xf>
    <xf numFmtId="0" fontId="18" fillId="0" borderId="95" xfId="21" applyBorder="1" applyAlignment="1">
      <alignment horizontal="center"/>
    </xf>
    <xf numFmtId="0" fontId="42" fillId="2" borderId="2" xfId="21" applyFont="1" applyFill="1" applyBorder="1" applyAlignment="1">
      <alignment horizontal="center"/>
    </xf>
    <xf numFmtId="0" fontId="42" fillId="2" borderId="88" xfId="21" applyFont="1" applyFill="1" applyBorder="1" applyAlignment="1">
      <alignment horizontal="center"/>
    </xf>
    <xf numFmtId="0" fontId="18" fillId="0" borderId="97" xfId="21" applyBorder="1" applyAlignment="1">
      <alignment horizontal="center"/>
    </xf>
    <xf numFmtId="0" fontId="18" fillId="0" borderId="98" xfId="21" applyBorder="1" applyAlignment="1">
      <alignment horizontal="center"/>
    </xf>
    <xf numFmtId="0" fontId="44" fillId="24" borderId="8" xfId="21" applyFont="1" applyFill="1" applyBorder="1" applyAlignment="1">
      <alignment horizontal="center"/>
    </xf>
    <xf numFmtId="0" fontId="44" fillId="24" borderId="9" xfId="21" applyFont="1" applyFill="1" applyBorder="1" applyAlignment="1">
      <alignment horizontal="center"/>
    </xf>
    <xf numFmtId="0" fontId="44" fillId="24" borderId="15"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42" fillId="2" borderId="86" xfId="21" applyFont="1" applyFill="1" applyBorder="1" applyAlignment="1">
      <alignment horizontal="center"/>
    </xf>
    <xf numFmtId="0" fontId="42" fillId="2" borderId="87"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67" fillId="0" borderId="0" xfId="21" applyFont="1" applyAlignment="1">
      <alignment horizontal="justify" wrapText="1"/>
    </xf>
    <xf numFmtId="0" fontId="44" fillId="12" borderId="13" xfId="21" applyFont="1" applyFill="1" applyBorder="1" applyAlignment="1">
      <alignment horizontal="center"/>
    </xf>
    <xf numFmtId="0" fontId="68" fillId="0" borderId="0" xfId="21" applyFont="1" applyAlignment="1">
      <alignment horizontal="left" wrapText="1"/>
    </xf>
    <xf numFmtId="0" fontId="44" fillId="12" borderId="0" xfId="21" applyFont="1" applyFill="1" applyBorder="1" applyAlignment="1">
      <alignment horizontal="center"/>
    </xf>
    <xf numFmtId="0" fontId="44" fillId="25" borderId="5" xfId="21" applyFont="1" applyFill="1" applyBorder="1" applyAlignment="1">
      <alignment horizontal="center" vertical="center" wrapText="1"/>
    </xf>
    <xf numFmtId="0" fontId="44" fillId="25" borderId="6" xfId="21" applyFont="1" applyFill="1" applyBorder="1" applyAlignment="1">
      <alignment horizontal="center" vertical="center" wrapText="1"/>
    </xf>
    <xf numFmtId="0" fontId="44" fillId="25" borderId="11" xfId="21" applyFont="1" applyFill="1" applyBorder="1" applyAlignment="1">
      <alignment horizontal="center" vertical="center" wrapText="1"/>
    </xf>
    <xf numFmtId="0" fontId="44" fillId="25" borderId="13" xfId="21" applyFont="1" applyFill="1" applyBorder="1" applyAlignment="1">
      <alignment horizontal="center" vertical="center" wrapText="1"/>
    </xf>
    <xf numFmtId="10" fontId="44" fillId="25" borderId="3" xfId="26" applyNumberFormat="1" applyFont="1" applyFill="1" applyBorder="1" applyAlignment="1">
      <alignment horizontal="center" vertical="center"/>
    </xf>
    <xf numFmtId="10" fontId="44" fillId="25" borderId="12" xfId="26" applyNumberFormat="1" applyFont="1" applyFill="1" applyBorder="1" applyAlignment="1">
      <alignment horizontal="center" vertical="center"/>
    </xf>
    <xf numFmtId="0" fontId="58" fillId="0" borderId="0" xfId="0" applyFont="1" applyBorder="1" applyAlignment="1" applyProtection="1">
      <alignment horizontal="left" vertical="center" wrapText="1"/>
      <protection hidden="1"/>
    </xf>
    <xf numFmtId="0" fontId="31" fillId="2" borderId="0" xfId="0" applyFont="1" applyFill="1" applyBorder="1" applyAlignment="1" applyProtection="1">
      <alignment horizontal="center" vertical="center" wrapText="1"/>
      <protection hidden="1"/>
    </xf>
    <xf numFmtId="0" fontId="31" fillId="2" borderId="0" xfId="0" applyFont="1" applyFill="1" applyBorder="1" applyAlignment="1" applyProtection="1">
      <alignment vertical="center" wrapText="1"/>
      <protection hidden="1"/>
    </xf>
    <xf numFmtId="0" fontId="78" fillId="0" borderId="0" xfId="0" applyFont="1" applyBorder="1" applyAlignment="1" applyProtection="1">
      <alignment horizontal="left" vertical="top" wrapText="1"/>
      <protection hidden="1"/>
    </xf>
    <xf numFmtId="0" fontId="58"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56" fillId="6" borderId="0" xfId="0" applyFont="1" applyFill="1" applyBorder="1" applyAlignment="1" applyProtection="1">
      <alignment horizontal="center" vertical="center"/>
      <protection hidden="1"/>
    </xf>
    <xf numFmtId="0" fontId="31" fillId="2" borderId="0" xfId="0" applyFont="1" applyFill="1" applyBorder="1" applyAlignment="1" applyProtection="1">
      <alignment horizontal="left" vertical="center" wrapText="1"/>
      <protection hidden="1"/>
    </xf>
    <xf numFmtId="0" fontId="31"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67" xfId="0"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64" xfId="0" quotePrefix="1" applyFont="1" applyFill="1" applyBorder="1" applyAlignment="1" applyProtection="1">
      <alignment horizontal="center" vertical="center" wrapText="1"/>
      <protection hidden="1"/>
    </xf>
    <xf numFmtId="0" fontId="51" fillId="5" borderId="52" xfId="0" quotePrefix="1" applyFont="1" applyFill="1" applyBorder="1" applyAlignment="1" applyProtection="1">
      <alignment horizontal="center" vertical="center" wrapText="1"/>
      <protection hidden="1"/>
    </xf>
    <xf numFmtId="0" fontId="51" fillId="5" borderId="65" xfId="0" applyFont="1" applyFill="1" applyBorder="1" applyAlignment="1" applyProtection="1">
      <alignment horizontal="center" vertical="center" wrapText="1"/>
      <protection hidden="1"/>
    </xf>
    <xf numFmtId="0" fontId="51" fillId="5" borderId="66" xfId="0" applyFont="1" applyFill="1" applyBorder="1" applyAlignment="1" applyProtection="1">
      <alignment horizontal="center" vertical="center" wrapText="1"/>
      <protection hidden="1"/>
    </xf>
    <xf numFmtId="0" fontId="51" fillId="5" borderId="72" xfId="0"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wrapText="1"/>
      <protection hidden="1"/>
    </xf>
    <xf numFmtId="0" fontId="30" fillId="0" borderId="0" xfId="0" applyFont="1" applyFill="1" applyAlignment="1" applyProtection="1">
      <alignment horizontal="center" vertical="center"/>
      <protection hidden="1"/>
    </xf>
    <xf numFmtId="0" fontId="58" fillId="12" borderId="0" xfId="0" applyFont="1" applyFill="1" applyBorder="1" applyAlignment="1" applyProtection="1">
      <alignment horizontal="justify" vertical="top" wrapText="1"/>
      <protection hidden="1"/>
    </xf>
    <xf numFmtId="0" fontId="78" fillId="12" borderId="0" xfId="0" applyFont="1" applyFill="1" applyBorder="1" applyAlignment="1" applyProtection="1">
      <alignment horizontal="left" vertical="top" wrapText="1"/>
      <protection hidden="1"/>
    </xf>
    <xf numFmtId="0" fontId="71" fillId="15" borderId="59"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6" fillId="6" borderId="71" xfId="0" applyFont="1" applyFill="1" applyBorder="1" applyAlignment="1" applyProtection="1">
      <alignment horizontal="center" vertical="center"/>
      <protection hidden="1"/>
    </xf>
    <xf numFmtId="0" fontId="56" fillId="6" borderId="72" xfId="0" applyFont="1" applyFill="1" applyBorder="1" applyAlignment="1" applyProtection="1">
      <alignment horizontal="center" vertical="center"/>
      <protection hidden="1"/>
    </xf>
    <xf numFmtId="0" fontId="51" fillId="5" borderId="69" xfId="0" quotePrefix="1" applyFont="1" applyFill="1" applyBorder="1" applyAlignment="1" applyProtection="1">
      <alignment horizontal="center" vertical="center" wrapText="1"/>
      <protection hidden="1"/>
    </xf>
    <xf numFmtId="0" fontId="51" fillId="5" borderId="7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center" vertical="top" wrapText="1"/>
      <protection hidden="1"/>
    </xf>
    <xf numFmtId="0" fontId="65" fillId="15" borderId="59"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71" xfId="0" applyFont="1" applyFill="1" applyBorder="1" applyAlignment="1" applyProtection="1">
      <alignment horizontal="center" vertical="center" wrapText="1"/>
      <protection hidden="1"/>
    </xf>
    <xf numFmtId="0" fontId="65" fillId="15" borderId="72" xfId="0" applyFont="1" applyFill="1" applyBorder="1" applyAlignment="1" applyProtection="1">
      <alignment horizontal="center" vertical="center" wrapText="1"/>
      <protection hidden="1"/>
    </xf>
    <xf numFmtId="0" fontId="51" fillId="32" borderId="69" xfId="0" quotePrefix="1" applyFont="1" applyFill="1" applyBorder="1" applyAlignment="1" applyProtection="1">
      <alignment horizontal="center" vertical="center" wrapText="1"/>
      <protection hidden="1"/>
    </xf>
    <xf numFmtId="0" fontId="51" fillId="32" borderId="52"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center" vertical="top" wrapText="1"/>
      <protection hidden="1"/>
    </xf>
    <xf numFmtId="0" fontId="58" fillId="12" borderId="0" xfId="0" applyFont="1" applyFill="1" applyBorder="1" applyAlignment="1" applyProtection="1">
      <alignment horizontal="left" vertical="top" wrapText="1"/>
      <protection hidden="1"/>
    </xf>
    <xf numFmtId="0" fontId="58" fillId="0" borderId="0" xfId="0" applyFont="1" applyBorder="1" applyAlignment="1" applyProtection="1">
      <alignment horizontal="left" vertical="top"/>
      <protection hidden="1"/>
    </xf>
    <xf numFmtId="0" fontId="79" fillId="0" borderId="0" xfId="21" applyFont="1" applyAlignment="1" applyProtection="1">
      <alignment horizontal="justify" vertical="center" wrapText="1"/>
      <protection hidden="1"/>
    </xf>
    <xf numFmtId="0" fontId="56" fillId="6" borderId="74" xfId="0" applyFont="1" applyFill="1" applyBorder="1" applyAlignment="1" applyProtection="1">
      <alignment horizontal="center" vertical="center" wrapText="1"/>
      <protection hidden="1"/>
    </xf>
    <xf numFmtId="0" fontId="56" fillId="6" borderId="75" xfId="0" applyFont="1" applyFill="1" applyBorder="1" applyAlignment="1" applyProtection="1">
      <alignment horizontal="center" vertical="center" wrapText="1"/>
      <protection hidden="1"/>
    </xf>
    <xf numFmtId="0" fontId="65" fillId="6" borderId="80" xfId="0" applyFont="1" applyFill="1" applyBorder="1" applyAlignment="1" applyProtection="1">
      <alignment horizontal="center" vertical="center" wrapText="1"/>
      <protection hidden="1"/>
    </xf>
    <xf numFmtId="0" fontId="65" fillId="6" borderId="81" xfId="0" applyFont="1" applyFill="1" applyBorder="1" applyAlignment="1" applyProtection="1">
      <alignment horizontal="center" vertical="center" wrapText="1"/>
      <protection hidden="1"/>
    </xf>
    <xf numFmtId="0" fontId="51" fillId="5" borderId="77" xfId="0" applyFont="1" applyFill="1" applyBorder="1" applyAlignment="1" applyProtection="1">
      <alignment horizontal="center" vertical="center" wrapText="1"/>
      <protection hidden="1"/>
    </xf>
    <xf numFmtId="0" fontId="51" fillId="5" borderId="78" xfId="0" applyFont="1" applyFill="1" applyBorder="1" applyAlignment="1" applyProtection="1">
      <alignment horizontal="center" vertical="center" wrapText="1"/>
      <protection hidden="1"/>
    </xf>
    <xf numFmtId="0" fontId="51" fillId="5" borderId="79" xfId="0" applyFont="1" applyFill="1" applyBorder="1" applyAlignment="1" applyProtection="1">
      <alignment horizontal="center" vertical="center" wrapText="1"/>
      <protection hidden="1"/>
    </xf>
    <xf numFmtId="0" fontId="51" fillId="5" borderId="82" xfId="0" applyFont="1" applyFill="1" applyBorder="1" applyAlignment="1" applyProtection="1">
      <alignment horizontal="center" vertical="center" wrapText="1"/>
      <protection hidden="1"/>
    </xf>
    <xf numFmtId="0" fontId="51" fillId="5" borderId="5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0" fontId="78" fillId="0" borderId="0" xfId="0" applyFont="1" applyBorder="1" applyAlignment="1" applyProtection="1">
      <alignment horizontal="justify" vertical="center"/>
      <protection hidden="1"/>
    </xf>
    <xf numFmtId="0" fontId="76" fillId="0" borderId="0" xfId="0" applyFont="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0" fillId="12" borderId="0" xfId="0" applyFont="1" applyFill="1" applyAlignment="1" applyProtection="1">
      <alignment horizontal="fill" vertical="center" wrapText="1"/>
      <protection hidden="1"/>
    </xf>
    <xf numFmtId="0" fontId="29"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0" fontId="50" fillId="0" borderId="76" xfId="0" applyFont="1" applyFill="1" applyBorder="1" applyAlignment="1" applyProtection="1">
      <alignment horizontal="left" vertical="center" wrapText="1"/>
      <protection hidden="1"/>
    </xf>
    <xf numFmtId="0" fontId="50" fillId="22" borderId="0" xfId="0" applyFont="1" applyFill="1" applyAlignment="1" applyProtection="1">
      <alignment horizontal="left" vertical="center" wrapText="1"/>
      <protection hidden="1"/>
    </xf>
    <xf numFmtId="166" fontId="114" fillId="2" borderId="0" xfId="24" applyFont="1" applyFill="1" applyAlignment="1" applyProtection="1">
      <alignment horizontal="center" vertical="center"/>
      <protection hidden="1"/>
    </xf>
    <xf numFmtId="0" fontId="58" fillId="2" borderId="0" xfId="0" applyNumberFormat="1" applyFont="1" applyFill="1" applyAlignment="1" applyProtection="1">
      <alignment horizontal="justify" vertical="center" wrapText="1"/>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8" fillId="0" borderId="0" xfId="0" applyFont="1" applyAlignment="1" applyProtection="1">
      <alignment horizontal="left" vertical="center" wrapText="1"/>
      <protection hidden="1"/>
    </xf>
    <xf numFmtId="0" fontId="58" fillId="0" borderId="0" xfId="0" applyFont="1" applyAlignment="1" applyProtection="1">
      <alignment horizontal="justify"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365759</xdr:colOff>
      <xdr:row>16</xdr:row>
      <xdr:rowOff>41577</xdr:rowOff>
    </xdr:from>
    <xdr:to>
      <xdr:col>15</xdr:col>
      <xdr:colOff>652115</xdr:colOff>
      <xdr:row>24</xdr:row>
      <xdr:rowOff>83126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0421" y="2593584"/>
          <a:ext cx="4825105" cy="149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0983132" y="1698171"/>
          <a:ext cx="4463447" cy="8002715"/>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rgb="FF92D050"/>
  </sheetPr>
  <dimension ref="B3:T316"/>
  <sheetViews>
    <sheetView topLeftCell="B1" zoomScale="85" zoomScaleNormal="85" workbookViewId="0">
      <selection activeCell="D85" sqref="D85"/>
    </sheetView>
  </sheetViews>
  <sheetFormatPr baseColWidth="10" defaultColWidth="11.375" defaultRowHeight="15.05" outlineLevelRow="2"/>
  <cols>
    <col min="1" max="1" width="0" style="435" hidden="1" customWidth="1"/>
    <col min="2" max="2" width="0.875" style="435" customWidth="1"/>
    <col min="3" max="3" width="1.125" style="435" customWidth="1"/>
    <col min="4" max="4" width="77.625" style="435" customWidth="1"/>
    <col min="5" max="5" width="23.75" style="436" hidden="1" customWidth="1"/>
    <col min="6" max="6" width="4.75" style="435" customWidth="1"/>
    <col min="7" max="7" width="6.75" style="435" customWidth="1"/>
    <col min="8" max="8" width="1.875" style="435" customWidth="1"/>
    <col min="9" max="9" width="3.125" style="435" customWidth="1"/>
    <col min="10" max="10" width="1.625" style="435" customWidth="1"/>
    <col min="11" max="11" width="11.75" style="435" customWidth="1"/>
    <col min="12" max="12" width="6.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3" spans="4:16" ht="20.3">
      <c r="D3" s="437" t="s">
        <v>345</v>
      </c>
    </row>
    <row r="4" spans="4:16">
      <c r="D4" s="443" t="s">
        <v>346</v>
      </c>
    </row>
    <row r="5" spans="4:16">
      <c r="D5" s="444" t="s">
        <v>347</v>
      </c>
    </row>
    <row r="6" spans="4:16">
      <c r="D6" s="435" t="s">
        <v>348</v>
      </c>
    </row>
    <row r="7" spans="4:16">
      <c r="D7" s="435" t="s">
        <v>349</v>
      </c>
    </row>
    <row r="8" spans="4:16">
      <c r="D8" s="435" t="s">
        <v>350</v>
      </c>
    </row>
    <row r="9" spans="4:16">
      <c r="D9" s="577" t="s">
        <v>628</v>
      </c>
    </row>
    <row r="12" spans="4:16">
      <c r="P12" s="444"/>
    </row>
    <row r="13" spans="4:16">
      <c r="P13" s="444"/>
    </row>
    <row r="14" spans="4:16" ht="20.3">
      <c r="D14" s="734" t="s">
        <v>352</v>
      </c>
      <c r="E14" s="735" t="s">
        <v>328</v>
      </c>
      <c r="F14" s="736" t="s">
        <v>329</v>
      </c>
      <c r="G14" s="737"/>
      <c r="H14" s="737"/>
      <c r="I14" s="737"/>
      <c r="J14" s="738"/>
      <c r="K14" s="732" t="s">
        <v>571</v>
      </c>
      <c r="P14" s="444"/>
    </row>
    <row r="15" spans="4:16" ht="20.3" hidden="1">
      <c r="D15" s="734"/>
      <c r="E15" s="735"/>
      <c r="F15" s="739" t="s">
        <v>629</v>
      </c>
      <c r="G15" s="740"/>
      <c r="H15" s="740"/>
      <c r="I15" s="740"/>
      <c r="J15" s="741"/>
      <c r="K15" s="733"/>
      <c r="P15" s="444"/>
    </row>
    <row r="16" spans="4:16" hidden="1">
      <c r="D16" s="445" t="s">
        <v>354</v>
      </c>
      <c r="E16" s="472"/>
      <c r="F16" s="745" t="s">
        <v>355</v>
      </c>
      <c r="G16" s="745"/>
      <c r="H16" s="745"/>
      <c r="I16" s="745"/>
      <c r="J16" s="745"/>
      <c r="K16" s="451">
        <v>0</v>
      </c>
      <c r="L16" s="728" t="s">
        <v>570</v>
      </c>
      <c r="M16" s="556"/>
      <c r="P16" s="444"/>
    </row>
    <row r="17" spans="4:19" hidden="1">
      <c r="D17" s="445" t="s">
        <v>356</v>
      </c>
      <c r="E17" s="479"/>
      <c r="F17" s="743" t="s">
        <v>355</v>
      </c>
      <c r="G17" s="743"/>
      <c r="H17" s="743"/>
      <c r="I17" s="743"/>
      <c r="J17" s="743"/>
      <c r="K17" s="451"/>
      <c r="L17" s="728" t="s">
        <v>570</v>
      </c>
      <c r="M17" s="556"/>
      <c r="P17" s="444"/>
      <c r="S17" s="182" t="s">
        <v>337</v>
      </c>
    </row>
    <row r="18" spans="4:19" hidden="1">
      <c r="D18" s="445" t="s">
        <v>357</v>
      </c>
      <c r="E18" s="479"/>
      <c r="F18" s="743" t="s">
        <v>355</v>
      </c>
      <c r="G18" s="743"/>
      <c r="H18" s="743"/>
      <c r="I18" s="743"/>
      <c r="J18" s="743"/>
      <c r="K18" s="451"/>
      <c r="L18" s="728" t="s">
        <v>570</v>
      </c>
      <c r="M18" s="556"/>
      <c r="P18" s="444"/>
      <c r="S18" s="182" t="s">
        <v>339</v>
      </c>
    </row>
    <row r="19" spans="4:19" hidden="1">
      <c r="D19" s="445" t="s">
        <v>358</v>
      </c>
      <c r="E19" s="479" t="s">
        <v>333</v>
      </c>
      <c r="F19" s="743" t="s">
        <v>334</v>
      </c>
      <c r="G19" s="743"/>
      <c r="H19" s="743"/>
      <c r="I19" s="743"/>
      <c r="J19" s="743"/>
      <c r="K19" s="475">
        <f>+'COMBUSTIBLES '!E7</f>
        <v>4115.9399999999996</v>
      </c>
      <c r="L19" s="728" t="s">
        <v>570</v>
      </c>
      <c r="M19" s="556"/>
      <c r="S19" s="182" t="s">
        <v>332</v>
      </c>
    </row>
    <row r="20" spans="4:19" hidden="1">
      <c r="D20" s="445" t="s">
        <v>359</v>
      </c>
      <c r="E20" s="479" t="s">
        <v>360</v>
      </c>
      <c r="F20" s="743" t="s">
        <v>334</v>
      </c>
      <c r="G20" s="743"/>
      <c r="H20" s="743"/>
      <c r="I20" s="743"/>
      <c r="J20" s="743"/>
      <c r="K20" s="487">
        <f>+'COMBUSTIBLES '!E8</f>
        <v>8.3842000000000017</v>
      </c>
      <c r="L20" s="728" t="s">
        <v>570</v>
      </c>
      <c r="M20" s="556"/>
      <c r="S20" s="182" t="s">
        <v>335</v>
      </c>
    </row>
    <row r="21" spans="4:19" hidden="1">
      <c r="D21" s="445" t="s">
        <v>361</v>
      </c>
      <c r="E21" s="479"/>
      <c r="F21" s="744" t="s">
        <v>362</v>
      </c>
      <c r="G21" s="744"/>
      <c r="H21" s="744"/>
      <c r="I21" s="744"/>
      <c r="J21" s="744"/>
      <c r="K21" s="475">
        <f>+Variables!E27</f>
        <v>5024.59</v>
      </c>
      <c r="L21" s="728" t="s">
        <v>727</v>
      </c>
      <c r="M21" s="556"/>
      <c r="S21" s="182" t="s">
        <v>336</v>
      </c>
    </row>
    <row r="22" spans="4:19" hidden="1">
      <c r="D22" s="445" t="s">
        <v>365</v>
      </c>
      <c r="E22" s="479" t="s">
        <v>366</v>
      </c>
      <c r="F22" s="743" t="s">
        <v>334</v>
      </c>
      <c r="G22" s="743"/>
      <c r="H22" s="743"/>
      <c r="I22" s="743"/>
      <c r="J22" s="743"/>
      <c r="K22" s="475">
        <f>+'COMBUSTIBLES '!B8</f>
        <v>8.3842000000000017</v>
      </c>
      <c r="L22" s="728" t="s">
        <v>570</v>
      </c>
      <c r="M22" s="556"/>
      <c r="S22" s="182" t="s">
        <v>340</v>
      </c>
    </row>
    <row r="23" spans="4:19" hidden="1">
      <c r="D23" s="445" t="s">
        <v>367</v>
      </c>
      <c r="E23" s="479" t="s">
        <v>338</v>
      </c>
      <c r="F23" s="743" t="s">
        <v>334</v>
      </c>
      <c r="G23" s="743"/>
      <c r="H23" s="743"/>
      <c r="I23" s="743"/>
      <c r="J23" s="743"/>
      <c r="K23" s="475">
        <f>+'COMBUSTIBLES '!B7</f>
        <v>4710.3100000000004</v>
      </c>
      <c r="L23" s="728" t="s">
        <v>570</v>
      </c>
      <c r="M23" s="556"/>
      <c r="S23" s="182" t="s">
        <v>342</v>
      </c>
    </row>
    <row r="24" spans="4:19" hidden="1">
      <c r="D24" s="445" t="s">
        <v>363</v>
      </c>
      <c r="E24" s="480" t="s">
        <v>364</v>
      </c>
      <c r="F24" s="744" t="s">
        <v>362</v>
      </c>
      <c r="G24" s="744"/>
      <c r="H24" s="744"/>
      <c r="I24" s="744"/>
      <c r="J24" s="744"/>
      <c r="K24" s="475">
        <f>+Variables!E20</f>
        <v>5078.7700000000004</v>
      </c>
      <c r="L24" s="728" t="s">
        <v>727</v>
      </c>
      <c r="M24" s="556"/>
      <c r="S24" s="182" t="s">
        <v>344</v>
      </c>
    </row>
    <row r="25" spans="4:19" hidden="1">
      <c r="D25" s="445" t="s">
        <v>368</v>
      </c>
      <c r="E25" s="479" t="s">
        <v>360</v>
      </c>
      <c r="F25" s="743" t="s">
        <v>369</v>
      </c>
      <c r="G25" s="743"/>
      <c r="H25" s="743"/>
      <c r="I25" s="743"/>
      <c r="J25" s="743"/>
      <c r="K25" s="475">
        <f>+BIODIESEL!E8</f>
        <v>4033.62</v>
      </c>
      <c r="L25" s="728" t="s">
        <v>570</v>
      </c>
      <c r="M25" s="556"/>
    </row>
    <row r="26" spans="4:19" hidden="1">
      <c r="D26" s="445" t="s">
        <v>370</v>
      </c>
      <c r="E26" s="479" t="s">
        <v>341</v>
      </c>
      <c r="F26" s="743" t="s">
        <v>369</v>
      </c>
      <c r="G26" s="743"/>
      <c r="H26" s="743"/>
      <c r="I26" s="743"/>
      <c r="J26" s="743"/>
      <c r="K26" s="475">
        <f>+BIODIESEL!E10</f>
        <v>4385.2699999999995</v>
      </c>
      <c r="L26" s="728" t="s">
        <v>570</v>
      </c>
      <c r="M26" s="556"/>
    </row>
    <row r="27" spans="4:19" hidden="1">
      <c r="D27" s="445" t="s">
        <v>371</v>
      </c>
      <c r="E27" s="479" t="s">
        <v>372</v>
      </c>
      <c r="F27" s="743" t="s">
        <v>369</v>
      </c>
      <c r="G27" s="743"/>
      <c r="H27" s="743"/>
      <c r="I27" s="743"/>
      <c r="J27" s="743"/>
      <c r="K27" s="475">
        <f>+BIODIESEL!E14</f>
        <v>8.3842000000000017</v>
      </c>
      <c r="L27" s="728" t="s">
        <v>570</v>
      </c>
      <c r="M27" s="556"/>
    </row>
    <row r="28" spans="4:19">
      <c r="D28" s="445" t="s">
        <v>373</v>
      </c>
      <c r="E28" s="479" t="s">
        <v>374</v>
      </c>
      <c r="F28" s="743" t="s">
        <v>369</v>
      </c>
      <c r="G28" s="743"/>
      <c r="H28" s="743"/>
      <c r="I28" s="743"/>
      <c r="J28" s="743"/>
      <c r="K28" s="475">
        <f>+BIODIESEL!E9</f>
        <v>351.65</v>
      </c>
      <c r="L28" s="728" t="s">
        <v>570</v>
      </c>
      <c r="M28" s="556"/>
    </row>
    <row r="29" spans="4:19" hidden="1">
      <c r="D29" s="445" t="s">
        <v>375</v>
      </c>
      <c r="E29" s="480" t="s">
        <v>364</v>
      </c>
      <c r="F29" s="744" t="s">
        <v>362</v>
      </c>
      <c r="G29" s="744"/>
      <c r="H29" s="744"/>
      <c r="I29" s="744"/>
      <c r="J29" s="744"/>
      <c r="K29" s="475">
        <f>+Variables!E27</f>
        <v>5024.59</v>
      </c>
      <c r="L29" s="728" t="s">
        <v>727</v>
      </c>
      <c r="M29" s="556"/>
    </row>
    <row r="30" spans="4:19" hidden="1">
      <c r="D30" s="445" t="s">
        <v>376</v>
      </c>
      <c r="E30" s="479" t="s">
        <v>360</v>
      </c>
      <c r="F30" s="743" t="s">
        <v>334</v>
      </c>
      <c r="G30" s="743"/>
      <c r="H30" s="743"/>
      <c r="I30" s="743"/>
      <c r="J30" s="743"/>
      <c r="K30" s="475">
        <f>+'COMBUSTIBLES '!E8</f>
        <v>8.3842000000000017</v>
      </c>
      <c r="L30" s="728" t="s">
        <v>570</v>
      </c>
      <c r="M30" s="556"/>
    </row>
    <row r="31" spans="4:19" hidden="1">
      <c r="D31" s="445" t="s">
        <v>377</v>
      </c>
      <c r="E31" s="479" t="s">
        <v>333</v>
      </c>
      <c r="F31" s="743" t="s">
        <v>334</v>
      </c>
      <c r="G31" s="743"/>
      <c r="H31" s="743"/>
      <c r="I31" s="743"/>
      <c r="J31" s="743"/>
      <c r="K31" s="475">
        <f>+'COMBUSTIBLES '!E7</f>
        <v>4115.9399999999996</v>
      </c>
      <c r="L31" s="728" t="s">
        <v>570</v>
      </c>
      <c r="M31" s="556"/>
    </row>
    <row r="32" spans="4:19" hidden="1">
      <c r="D32" s="445" t="s">
        <v>378</v>
      </c>
      <c r="E32" s="480" t="s">
        <v>364</v>
      </c>
      <c r="F32" s="744" t="s">
        <v>362</v>
      </c>
      <c r="G32" s="744"/>
      <c r="H32" s="744"/>
      <c r="I32" s="744"/>
      <c r="J32" s="744"/>
      <c r="K32" s="475">
        <f>+Variables!E27</f>
        <v>5024.59</v>
      </c>
      <c r="L32" s="728" t="s">
        <v>727</v>
      </c>
      <c r="M32" s="556"/>
    </row>
    <row r="33" spans="4:16" hidden="1">
      <c r="D33" s="445" t="s">
        <v>379</v>
      </c>
      <c r="E33" s="479" t="s">
        <v>333</v>
      </c>
      <c r="F33" s="743" t="s">
        <v>334</v>
      </c>
      <c r="G33" s="743"/>
      <c r="H33" s="743"/>
      <c r="I33" s="743"/>
      <c r="J33" s="743"/>
      <c r="K33" s="475">
        <f>+'COMBUSTIBLES '!E7</f>
        <v>4115.9399999999996</v>
      </c>
      <c r="L33" s="725"/>
      <c r="M33" s="556"/>
    </row>
    <row r="34" spans="4:16" hidden="1">
      <c r="D34" s="445" t="s">
        <v>380</v>
      </c>
      <c r="E34" s="480" t="s">
        <v>364</v>
      </c>
      <c r="F34" s="744" t="s">
        <v>362</v>
      </c>
      <c r="G34" s="744"/>
      <c r="H34" s="744"/>
      <c r="I34" s="744"/>
      <c r="J34" s="744"/>
      <c r="K34" s="475">
        <f>+Variables!E27</f>
        <v>5024.59</v>
      </c>
      <c r="L34" s="728" t="s">
        <v>727</v>
      </c>
      <c r="M34" s="556"/>
    </row>
    <row r="35" spans="4:16" hidden="1" outlineLevel="1">
      <c r="D35" s="445" t="s">
        <v>381</v>
      </c>
      <c r="E35" s="479" t="s">
        <v>343</v>
      </c>
      <c r="F35" s="743" t="s">
        <v>369</v>
      </c>
      <c r="G35" s="743"/>
      <c r="H35" s="743"/>
      <c r="I35" s="743"/>
      <c r="J35" s="743"/>
      <c r="K35" s="475">
        <f>+BIODIESEL!F10</f>
        <v>5462.6139999999996</v>
      </c>
      <c r="L35" s="612" t="s">
        <v>658</v>
      </c>
      <c r="M35" s="495"/>
    </row>
    <row r="36" spans="4:16" hidden="1" outlineLevel="1">
      <c r="D36" s="445" t="s">
        <v>382</v>
      </c>
      <c r="E36" s="479" t="s">
        <v>360</v>
      </c>
      <c r="F36" s="743" t="s">
        <v>334</v>
      </c>
      <c r="G36" s="743"/>
      <c r="H36" s="743"/>
      <c r="I36" s="743"/>
      <c r="J36" s="743"/>
      <c r="K36" s="475">
        <f>+'COMBUSTIBLES '!E8</f>
        <v>8.3842000000000017</v>
      </c>
      <c r="L36" s="612" t="s">
        <v>658</v>
      </c>
      <c r="M36" s="495"/>
    </row>
    <row r="37" spans="4:16" hidden="1" outlineLevel="1">
      <c r="D37" s="445" t="s">
        <v>383</v>
      </c>
      <c r="E37" s="479" t="s">
        <v>384</v>
      </c>
      <c r="F37" s="743" t="s">
        <v>369</v>
      </c>
      <c r="G37" s="743"/>
      <c r="H37" s="743"/>
      <c r="I37" s="743"/>
      <c r="J37" s="743"/>
      <c r="K37" s="475">
        <f>+BIODIESEL!F8</f>
        <v>3704.346</v>
      </c>
      <c r="L37" s="612" t="s">
        <v>658</v>
      </c>
      <c r="M37" s="495"/>
    </row>
    <row r="38" spans="4:16" outlineLevel="1">
      <c r="D38" s="445" t="s">
        <v>385</v>
      </c>
      <c r="E38" s="479" t="s">
        <v>386</v>
      </c>
      <c r="F38" s="743" t="s">
        <v>369</v>
      </c>
      <c r="G38" s="743"/>
      <c r="H38" s="743"/>
      <c r="I38" s="743"/>
      <c r="J38" s="743"/>
      <c r="K38" s="475">
        <f>+BIODIESEL!F9</f>
        <v>1758.268</v>
      </c>
      <c r="L38" s="612" t="s">
        <v>658</v>
      </c>
      <c r="M38" s="495"/>
    </row>
    <row r="39" spans="4:16" hidden="1" outlineLevel="1">
      <c r="D39" s="445" t="s">
        <v>387</v>
      </c>
      <c r="E39" s="480" t="s">
        <v>364</v>
      </c>
      <c r="F39" s="744" t="s">
        <v>362</v>
      </c>
      <c r="G39" s="744"/>
      <c r="H39" s="744"/>
      <c r="I39" s="744"/>
      <c r="J39" s="744"/>
      <c r="K39" s="475">
        <f>+Variables!E27</f>
        <v>5024.59</v>
      </c>
      <c r="L39" s="612" t="s">
        <v>658</v>
      </c>
      <c r="M39" s="495"/>
    </row>
    <row r="40" spans="4:16" hidden="1">
      <c r="D40" s="445" t="s">
        <v>388</v>
      </c>
      <c r="E40" s="479" t="s">
        <v>360</v>
      </c>
      <c r="F40" s="743" t="s">
        <v>334</v>
      </c>
      <c r="G40" s="743"/>
      <c r="H40" s="743"/>
      <c r="I40" s="743"/>
      <c r="J40" s="743"/>
      <c r="K40" s="475">
        <f>+'COMBUSTIBLES '!E8</f>
        <v>8.3842000000000017</v>
      </c>
      <c r="L40" s="728" t="s">
        <v>570</v>
      </c>
      <c r="M40" s="556"/>
      <c r="P40" s="703"/>
    </row>
    <row r="41" spans="4:16" hidden="1">
      <c r="D41" s="445" t="s">
        <v>389</v>
      </c>
      <c r="E41" s="479" t="s">
        <v>333</v>
      </c>
      <c r="F41" s="743" t="s">
        <v>334</v>
      </c>
      <c r="G41" s="743"/>
      <c r="H41" s="743"/>
      <c r="I41" s="743"/>
      <c r="J41" s="743"/>
      <c r="K41" s="475">
        <f>+'COMBUSTIBLES '!E7</f>
        <v>4115.9399999999996</v>
      </c>
      <c r="L41" s="728" t="s">
        <v>570</v>
      </c>
      <c r="M41" s="556"/>
    </row>
    <row r="42" spans="4:16" hidden="1">
      <c r="D42" s="445" t="s">
        <v>390</v>
      </c>
      <c r="E42" s="480" t="s">
        <v>364</v>
      </c>
      <c r="F42" s="744" t="s">
        <v>362</v>
      </c>
      <c r="G42" s="744"/>
      <c r="H42" s="744"/>
      <c r="I42" s="744"/>
      <c r="J42" s="744"/>
      <c r="K42" s="488">
        <f>+Variables!E27</f>
        <v>5024.59</v>
      </c>
      <c r="L42" s="728" t="s">
        <v>727</v>
      </c>
      <c r="M42" s="556"/>
    </row>
    <row r="43" spans="4:16" hidden="1">
      <c r="D43" s="445" t="s">
        <v>391</v>
      </c>
      <c r="E43" s="479" t="s">
        <v>341</v>
      </c>
      <c r="F43" s="743" t="s">
        <v>369</v>
      </c>
      <c r="G43" s="743"/>
      <c r="H43" s="743"/>
      <c r="I43" s="743"/>
      <c r="J43" s="743"/>
      <c r="K43" s="488">
        <f>+BIODIESEL!E10</f>
        <v>4385.2699999999995</v>
      </c>
      <c r="L43" s="728" t="s">
        <v>570</v>
      </c>
      <c r="M43" s="556"/>
    </row>
    <row r="44" spans="4:16" hidden="1">
      <c r="D44" s="445" t="s">
        <v>392</v>
      </c>
      <c r="E44" s="479" t="s">
        <v>360</v>
      </c>
      <c r="F44" s="743" t="s">
        <v>369</v>
      </c>
      <c r="G44" s="743"/>
      <c r="H44" s="743"/>
      <c r="I44" s="743"/>
      <c r="J44" s="743"/>
      <c r="K44" s="488">
        <f>+BIODIESEL!E8</f>
        <v>4033.62</v>
      </c>
      <c r="L44" s="728" t="s">
        <v>570</v>
      </c>
      <c r="M44" s="556"/>
    </row>
    <row r="45" spans="4:16">
      <c r="D45" s="445" t="s">
        <v>393</v>
      </c>
      <c r="E45" s="479" t="s">
        <v>374</v>
      </c>
      <c r="F45" s="743" t="s">
        <v>369</v>
      </c>
      <c r="G45" s="743"/>
      <c r="H45" s="743"/>
      <c r="I45" s="743"/>
      <c r="J45" s="743"/>
      <c r="K45" s="488">
        <f>+BIODIESEL!E9</f>
        <v>351.65</v>
      </c>
      <c r="L45" s="728" t="s">
        <v>570</v>
      </c>
      <c r="M45" s="556"/>
    </row>
    <row r="46" spans="4:16" hidden="1">
      <c r="D46" s="445" t="s">
        <v>394</v>
      </c>
      <c r="E46" s="480" t="s">
        <v>364</v>
      </c>
      <c r="F46" s="744" t="s">
        <v>362</v>
      </c>
      <c r="G46" s="744"/>
      <c r="H46" s="744"/>
      <c r="I46" s="744"/>
      <c r="J46" s="744"/>
      <c r="K46" s="488">
        <f>+Variables!E27</f>
        <v>5024.59</v>
      </c>
      <c r="L46" s="728" t="s">
        <v>727</v>
      </c>
      <c r="M46" s="556"/>
    </row>
    <row r="47" spans="4:16" hidden="1">
      <c r="D47" s="445" t="s">
        <v>532</v>
      </c>
      <c r="E47" s="479" t="s">
        <v>333</v>
      </c>
      <c r="F47" s="743" t="s">
        <v>334</v>
      </c>
      <c r="G47" s="743"/>
      <c r="H47" s="743"/>
      <c r="I47" s="743"/>
      <c r="J47" s="743"/>
      <c r="K47" s="488">
        <f>+'COMBUSTIBLES '!E7</f>
        <v>4115.9399999999996</v>
      </c>
      <c r="L47" s="728" t="s">
        <v>570</v>
      </c>
      <c r="M47" s="556"/>
    </row>
    <row r="48" spans="4:16" hidden="1">
      <c r="D48" s="445" t="s">
        <v>533</v>
      </c>
      <c r="E48" s="480" t="s">
        <v>364</v>
      </c>
      <c r="F48" s="744" t="s">
        <v>362</v>
      </c>
      <c r="G48" s="744"/>
      <c r="H48" s="744"/>
      <c r="I48" s="744"/>
      <c r="J48" s="744"/>
      <c r="K48" s="475">
        <f>+Variables!E27</f>
        <v>5024.59</v>
      </c>
      <c r="L48" s="728" t="s">
        <v>727</v>
      </c>
      <c r="M48" s="556"/>
    </row>
    <row r="49" spans="4:13" hidden="1">
      <c r="D49" s="445" t="s">
        <v>534</v>
      </c>
      <c r="E49" s="479" t="s">
        <v>360</v>
      </c>
      <c r="F49" s="743" t="s">
        <v>334</v>
      </c>
      <c r="G49" s="743"/>
      <c r="H49" s="743"/>
      <c r="I49" s="743"/>
      <c r="J49" s="743"/>
      <c r="K49" s="475">
        <f>+'COMBUSTIBLES '!E8</f>
        <v>8.3842000000000017</v>
      </c>
      <c r="L49" s="728" t="s">
        <v>570</v>
      </c>
      <c r="M49" s="556"/>
    </row>
    <row r="50" spans="4:13" hidden="1">
      <c r="D50" s="445" t="s">
        <v>535</v>
      </c>
      <c r="E50" s="479"/>
      <c r="F50" s="743" t="s">
        <v>355</v>
      </c>
      <c r="G50" s="743"/>
      <c r="H50" s="743"/>
      <c r="I50" s="743"/>
      <c r="J50" s="743"/>
      <c r="K50" s="451">
        <v>0</v>
      </c>
      <c r="L50" s="728" t="s">
        <v>570</v>
      </c>
      <c r="M50" s="556"/>
    </row>
    <row r="51" spans="4:13" hidden="1">
      <c r="D51" s="498" t="s">
        <v>573</v>
      </c>
      <c r="E51" s="496"/>
      <c r="F51" s="753" t="s">
        <v>362</v>
      </c>
      <c r="G51" s="753"/>
      <c r="H51" s="753"/>
      <c r="I51" s="753"/>
      <c r="J51" s="753"/>
      <c r="K51" s="497">
        <f>+'COMBUSTIBLES '!E7</f>
        <v>4115.9399999999996</v>
      </c>
      <c r="L51" s="728" t="s">
        <v>570</v>
      </c>
      <c r="M51" s="556"/>
    </row>
    <row r="52" spans="4:13" hidden="1">
      <c r="D52" s="445" t="s">
        <v>574</v>
      </c>
      <c r="E52" s="479"/>
      <c r="F52" s="746"/>
      <c r="G52" s="747"/>
      <c r="H52" s="747"/>
      <c r="I52" s="748"/>
      <c r="J52" s="494"/>
      <c r="K52" s="475">
        <f>+Variables!E27</f>
        <v>5024.59</v>
      </c>
      <c r="L52" s="728" t="s">
        <v>727</v>
      </c>
      <c r="M52" s="556"/>
    </row>
    <row r="53" spans="4:13" hidden="1">
      <c r="D53" s="445" t="s">
        <v>575</v>
      </c>
      <c r="E53" s="479"/>
      <c r="F53" s="744" t="s">
        <v>362</v>
      </c>
      <c r="G53" s="744"/>
      <c r="H53" s="744"/>
      <c r="I53" s="744"/>
      <c r="J53" s="744"/>
      <c r="K53" s="475">
        <f>+'COMBUSTIBLES '!E8</f>
        <v>8.3842000000000017</v>
      </c>
      <c r="L53" s="725"/>
      <c r="M53" s="556"/>
    </row>
    <row r="54" spans="4:13" hidden="1">
      <c r="D54" s="445" t="s">
        <v>576</v>
      </c>
      <c r="E54" s="479"/>
      <c r="F54" s="744" t="s">
        <v>362</v>
      </c>
      <c r="G54" s="744"/>
      <c r="H54" s="744"/>
      <c r="I54" s="744"/>
      <c r="J54" s="744"/>
      <c r="K54" s="475">
        <f>+'COMBUSTIBLES '!B7</f>
        <v>4710.3100000000004</v>
      </c>
      <c r="L54" s="728" t="s">
        <v>570</v>
      </c>
      <c r="M54" s="556"/>
    </row>
    <row r="55" spans="4:13" hidden="1">
      <c r="D55" s="445" t="s">
        <v>577</v>
      </c>
      <c r="E55" s="479"/>
      <c r="F55" s="746"/>
      <c r="G55" s="747"/>
      <c r="H55" s="747"/>
      <c r="I55" s="748"/>
      <c r="J55" s="494"/>
      <c r="K55" s="475">
        <f>+Variables!E22</f>
        <v>5078.7700000000004</v>
      </c>
      <c r="L55" s="728" t="s">
        <v>727</v>
      </c>
      <c r="M55" s="556"/>
    </row>
    <row r="56" spans="4:13" hidden="1">
      <c r="D56" s="445" t="s">
        <v>578</v>
      </c>
      <c r="E56" s="479"/>
      <c r="F56" s="746"/>
      <c r="G56" s="747"/>
      <c r="H56" s="747"/>
      <c r="I56" s="748"/>
      <c r="J56" s="494"/>
      <c r="K56" s="475">
        <f>+'COMBUSTIBLES '!B8</f>
        <v>8.3842000000000017</v>
      </c>
      <c r="L56" s="728" t="s">
        <v>570</v>
      </c>
      <c r="M56" s="556"/>
    </row>
    <row r="57" spans="4:13" hidden="1">
      <c r="D57" s="445" t="s">
        <v>579</v>
      </c>
      <c r="E57" s="479"/>
      <c r="F57" s="746"/>
      <c r="G57" s="747"/>
      <c r="H57" s="747"/>
      <c r="I57" s="748"/>
      <c r="J57" s="494"/>
      <c r="K57" s="475">
        <f>+'COMBUSTIBLES '!E10</f>
        <v>0</v>
      </c>
      <c r="L57" s="725"/>
      <c r="M57" s="556"/>
    </row>
    <row r="58" spans="4:13" hidden="1">
      <c r="D58" s="445" t="s">
        <v>580</v>
      </c>
      <c r="E58" s="479"/>
      <c r="F58" s="746"/>
      <c r="G58" s="747"/>
      <c r="H58" s="747"/>
      <c r="I58" s="748"/>
      <c r="J58" s="494"/>
      <c r="K58" s="475">
        <f>+'COMBUSTIBLES '!E10</f>
        <v>0</v>
      </c>
      <c r="L58" s="725"/>
      <c r="M58" s="556"/>
    </row>
    <row r="59" spans="4:13" hidden="1">
      <c r="D59" s="445" t="s">
        <v>585</v>
      </c>
      <c r="E59" s="479"/>
      <c r="F59" s="746"/>
      <c r="G59" s="747"/>
      <c r="H59" s="747"/>
      <c r="I59" s="748"/>
      <c r="J59" s="502"/>
      <c r="K59" s="475">
        <f>+BIODIESEL!E10</f>
        <v>4385.2699999999995</v>
      </c>
      <c r="L59" s="728" t="s">
        <v>570</v>
      </c>
      <c r="M59" s="556"/>
    </row>
    <row r="60" spans="4:13" hidden="1">
      <c r="D60" s="445" t="s">
        <v>586</v>
      </c>
      <c r="E60" s="479"/>
      <c r="F60" s="746"/>
      <c r="G60" s="747"/>
      <c r="H60" s="747"/>
      <c r="I60" s="748"/>
      <c r="J60" s="502"/>
      <c r="K60" s="475">
        <f>+Variables!E27</f>
        <v>5024.59</v>
      </c>
      <c r="L60" s="728" t="s">
        <v>727</v>
      </c>
      <c r="M60" s="556"/>
    </row>
    <row r="61" spans="4:13" hidden="1">
      <c r="D61" s="445" t="s">
        <v>587</v>
      </c>
      <c r="E61" s="479"/>
      <c r="F61" s="746"/>
      <c r="G61" s="747"/>
      <c r="H61" s="747"/>
      <c r="I61" s="748"/>
      <c r="J61" s="502"/>
      <c r="K61" s="475">
        <f>+K58</f>
        <v>0</v>
      </c>
      <c r="L61" s="725" t="s">
        <v>568</v>
      </c>
      <c r="M61" s="556"/>
    </row>
    <row r="62" spans="4:13">
      <c r="D62" s="445" t="s">
        <v>588</v>
      </c>
      <c r="E62" s="479"/>
      <c r="F62" s="746"/>
      <c r="G62" s="747"/>
      <c r="H62" s="747"/>
      <c r="I62" s="748"/>
      <c r="J62" s="502"/>
      <c r="K62" s="475">
        <f>+BIODIESEL!E9</f>
        <v>351.65</v>
      </c>
      <c r="L62" s="728" t="s">
        <v>570</v>
      </c>
      <c r="M62" s="556"/>
    </row>
    <row r="63" spans="4:13" hidden="1">
      <c r="D63" s="445" t="s">
        <v>589</v>
      </c>
      <c r="E63" s="479"/>
      <c r="F63" s="746"/>
      <c r="G63" s="747"/>
      <c r="H63" s="747"/>
      <c r="I63" s="748"/>
      <c r="J63" s="502"/>
      <c r="K63" s="475">
        <f>+BIODIESEL!E8</f>
        <v>4033.62</v>
      </c>
      <c r="L63" s="728" t="s">
        <v>570</v>
      </c>
      <c r="M63" s="556"/>
    </row>
    <row r="64" spans="4:13" hidden="1">
      <c r="D64" s="445" t="s">
        <v>591</v>
      </c>
      <c r="E64" s="479"/>
      <c r="F64" s="746"/>
      <c r="G64" s="747"/>
      <c r="H64" s="747"/>
      <c r="I64" s="748"/>
      <c r="J64" s="561"/>
      <c r="K64" s="475">
        <f>+BIODIESEL!E10</f>
        <v>4385.2699999999995</v>
      </c>
      <c r="L64" s="728" t="s">
        <v>570</v>
      </c>
      <c r="M64" s="556"/>
    </row>
    <row r="65" spans="4:13" hidden="1">
      <c r="D65" s="445" t="s">
        <v>592</v>
      </c>
      <c r="E65" s="479"/>
      <c r="F65" s="746"/>
      <c r="G65" s="747"/>
      <c r="H65" s="747"/>
      <c r="I65" s="748"/>
      <c r="J65" s="561"/>
      <c r="K65" s="475">
        <f>+Variables!E27</f>
        <v>5024.59</v>
      </c>
      <c r="L65" s="728" t="s">
        <v>727</v>
      </c>
      <c r="M65" s="556"/>
    </row>
    <row r="66" spans="4:13" hidden="1">
      <c r="D66" s="445" t="s">
        <v>593</v>
      </c>
      <c r="E66" s="479"/>
      <c r="F66" s="746"/>
      <c r="G66" s="747"/>
      <c r="H66" s="747"/>
      <c r="I66" s="748"/>
      <c r="J66" s="561"/>
      <c r="K66" s="475">
        <f>+K61</f>
        <v>0</v>
      </c>
      <c r="L66" s="725" t="s">
        <v>568</v>
      </c>
      <c r="M66" s="556"/>
    </row>
    <row r="67" spans="4:13">
      <c r="D67" s="445" t="s">
        <v>728</v>
      </c>
      <c r="E67" s="479"/>
      <c r="F67" s="746"/>
      <c r="G67" s="747"/>
      <c r="H67" s="747"/>
      <c r="I67" s="748"/>
      <c r="J67" s="561"/>
      <c r="K67" s="475">
        <f>+BIODIESEL!E9</f>
        <v>351.65</v>
      </c>
      <c r="L67" s="728" t="s">
        <v>570</v>
      </c>
      <c r="M67" s="556"/>
    </row>
    <row r="68" spans="4:13" hidden="1">
      <c r="D68" s="445" t="s">
        <v>594</v>
      </c>
      <c r="E68" s="479"/>
      <c r="F68" s="746"/>
      <c r="G68" s="747"/>
      <c r="H68" s="747"/>
      <c r="I68" s="748"/>
      <c r="J68" s="561"/>
      <c r="K68" s="475">
        <f>+BIODIESEL!E8</f>
        <v>4033.62</v>
      </c>
      <c r="L68" s="728" t="s">
        <v>570</v>
      </c>
      <c r="M68" s="556"/>
    </row>
    <row r="69" spans="4:13" s="452" customFormat="1" hidden="1">
      <c r="D69" s="514" t="s">
        <v>604</v>
      </c>
      <c r="E69" s="557"/>
      <c r="F69" s="558"/>
      <c r="G69" s="558"/>
      <c r="H69" s="558"/>
      <c r="I69" s="558" t="s">
        <v>158</v>
      </c>
      <c r="J69" s="559"/>
      <c r="K69" s="560">
        <f>+BIODIESEL!E10</f>
        <v>4385.2699999999995</v>
      </c>
      <c r="L69" s="728" t="s">
        <v>570</v>
      </c>
    </row>
    <row r="70" spans="4:13" hidden="1">
      <c r="D70" s="514" t="s">
        <v>606</v>
      </c>
      <c r="E70" s="557"/>
      <c r="F70" s="558"/>
      <c r="G70" s="558"/>
      <c r="H70" s="558"/>
      <c r="I70" s="558"/>
      <c r="J70" s="559"/>
      <c r="K70" s="560">
        <f>+K60</f>
        <v>5024.59</v>
      </c>
      <c r="L70" s="728" t="s">
        <v>727</v>
      </c>
    </row>
    <row r="71" spans="4:13" hidden="1">
      <c r="D71" s="729" t="s">
        <v>607</v>
      </c>
      <c r="E71" s="496"/>
      <c r="F71" s="512"/>
      <c r="G71" s="512"/>
      <c r="H71" s="512"/>
      <c r="I71" s="512"/>
      <c r="J71" s="513"/>
      <c r="K71" s="497">
        <f>+BIODIESEL!E14</f>
        <v>8.3842000000000017</v>
      </c>
      <c r="L71" s="728" t="s">
        <v>570</v>
      </c>
    </row>
    <row r="72" spans="4:13" s="452" customFormat="1" hidden="1">
      <c r="D72" s="729" t="s">
        <v>608</v>
      </c>
      <c r="E72" s="557"/>
      <c r="F72" s="558"/>
      <c r="G72" s="558"/>
      <c r="H72" s="558"/>
      <c r="I72" s="558"/>
      <c r="J72" s="559"/>
      <c r="K72" s="560">
        <v>0</v>
      </c>
      <c r="L72" s="728" t="s">
        <v>570</v>
      </c>
    </row>
    <row r="73" spans="4:13" hidden="1">
      <c r="D73" s="514" t="s">
        <v>609</v>
      </c>
      <c r="E73" s="496"/>
      <c r="F73" s="512"/>
      <c r="G73" s="512"/>
      <c r="H73" s="512"/>
      <c r="I73" s="512"/>
      <c r="J73" s="513"/>
      <c r="K73" s="497">
        <f>+'COMBUSTIBLES '!B7</f>
        <v>4710.3100000000004</v>
      </c>
      <c r="L73" s="728" t="s">
        <v>570</v>
      </c>
    </row>
    <row r="74" spans="4:13" hidden="1">
      <c r="D74" s="514" t="s">
        <v>610</v>
      </c>
      <c r="E74" s="496"/>
      <c r="F74" s="512"/>
      <c r="G74" s="512"/>
      <c r="H74" s="512"/>
      <c r="I74" s="512"/>
      <c r="J74" s="513"/>
      <c r="K74" s="497">
        <f>+'SAN-ANDRES + GENERACION'!C8</f>
        <v>4710.3100000000004</v>
      </c>
      <c r="L74" s="728" t="s">
        <v>570</v>
      </c>
    </row>
    <row r="75" spans="4:13" hidden="1">
      <c r="D75" s="514" t="s">
        <v>611</v>
      </c>
      <c r="E75" s="496"/>
      <c r="F75" s="512"/>
      <c r="G75" s="512"/>
      <c r="H75" s="512"/>
      <c r="I75" s="512"/>
      <c r="J75" s="513"/>
      <c r="K75" s="497">
        <f>+'COMBUSTIBLES '!B10</f>
        <v>0</v>
      </c>
      <c r="L75" s="725"/>
    </row>
    <row r="76" spans="4:13">
      <c r="D76" s="514" t="s">
        <v>612</v>
      </c>
      <c r="E76" s="496"/>
      <c r="F76" s="512"/>
      <c r="G76" s="512"/>
      <c r="H76" s="512"/>
      <c r="I76" s="512"/>
      <c r="J76" s="513"/>
      <c r="K76" s="497">
        <f>+BIODIESEL!E9</f>
        <v>351.65</v>
      </c>
      <c r="L76" s="728" t="s">
        <v>570</v>
      </c>
    </row>
    <row r="77" spans="4:13" hidden="1">
      <c r="D77" s="514" t="s">
        <v>613</v>
      </c>
      <c r="E77" s="496"/>
      <c r="F77" s="512"/>
      <c r="G77" s="512"/>
      <c r="H77" s="512"/>
      <c r="I77" s="512"/>
      <c r="J77" s="513"/>
      <c r="K77" s="497">
        <f>+'SAN-ANDRES + GENERACION'!F8</f>
        <v>4385.2711999999992</v>
      </c>
      <c r="L77" s="728" t="s">
        <v>570</v>
      </c>
    </row>
    <row r="78" spans="4:13" hidden="1">
      <c r="D78" s="514" t="s">
        <v>614</v>
      </c>
      <c r="E78" s="496"/>
      <c r="F78" s="512"/>
      <c r="G78" s="512"/>
      <c r="H78" s="512"/>
      <c r="I78" s="512"/>
      <c r="J78" s="513"/>
      <c r="K78" s="497">
        <f>+'SAN-ANDRES + GENERACION'!H11</f>
        <v>4033.6211999999996</v>
      </c>
      <c r="L78" s="728" t="s">
        <v>570</v>
      </c>
    </row>
    <row r="79" spans="4:13" hidden="1">
      <c r="D79" s="514" t="s">
        <v>615</v>
      </c>
      <c r="E79" s="496"/>
      <c r="F79" s="512"/>
      <c r="G79" s="512"/>
      <c r="H79" s="512"/>
      <c r="I79" s="512"/>
      <c r="J79" s="513"/>
      <c r="K79" s="497">
        <f>+BIODIESEL!E8</f>
        <v>4033.62</v>
      </c>
      <c r="L79" s="728" t="s">
        <v>570</v>
      </c>
    </row>
    <row r="80" spans="4:13">
      <c r="D80" s="514" t="s">
        <v>616</v>
      </c>
      <c r="E80" s="496"/>
      <c r="F80" s="512"/>
      <c r="G80" s="512"/>
      <c r="H80" s="512"/>
      <c r="I80" s="512"/>
      <c r="J80" s="513"/>
      <c r="K80" s="497">
        <f>+BIODIESEL!E9</f>
        <v>351.65</v>
      </c>
      <c r="L80" s="728" t="s">
        <v>570</v>
      </c>
    </row>
    <row r="81" spans="2:13" hidden="1">
      <c r="D81" s="514" t="s">
        <v>619</v>
      </c>
      <c r="E81" s="496"/>
      <c r="F81" s="512"/>
      <c r="G81" s="512"/>
      <c r="H81" s="512"/>
      <c r="I81" s="512"/>
      <c r="J81" s="513"/>
      <c r="K81" s="497">
        <f>+'SAN-ANDRES + GENERACION'!E8</f>
        <v>4115.9399999999996</v>
      </c>
      <c r="L81" s="728" t="s">
        <v>570</v>
      </c>
      <c r="M81" s="435">
        <v>4272.5</v>
      </c>
    </row>
    <row r="82" spans="2:13" hidden="1">
      <c r="D82" s="576" t="s">
        <v>623</v>
      </c>
      <c r="E82" s="496"/>
      <c r="F82" s="512"/>
      <c r="G82" s="512"/>
      <c r="H82" s="512"/>
      <c r="I82" s="512"/>
      <c r="J82" s="513"/>
      <c r="K82" s="497">
        <f>+BIODIESEL!E10</f>
        <v>4385.2699999999995</v>
      </c>
      <c r="L82" s="728" t="s">
        <v>570</v>
      </c>
    </row>
    <row r="83" spans="2:13" hidden="1">
      <c r="D83" s="514" t="s">
        <v>624</v>
      </c>
      <c r="E83" s="496"/>
      <c r="F83" s="512"/>
      <c r="G83" s="512"/>
      <c r="H83" s="512"/>
      <c r="I83" s="512"/>
      <c r="J83" s="513"/>
      <c r="K83" s="497">
        <f>+K70</f>
        <v>5024.59</v>
      </c>
      <c r="L83" s="728" t="s">
        <v>727</v>
      </c>
    </row>
    <row r="84" spans="2:13" hidden="1">
      <c r="D84" s="514" t="s">
        <v>625</v>
      </c>
      <c r="E84" s="496"/>
      <c r="F84" s="512"/>
      <c r="G84" s="512"/>
      <c r="H84" s="512"/>
      <c r="I84" s="512"/>
      <c r="J84" s="513"/>
      <c r="K84" s="497">
        <f>+BIODIESEL!E17</f>
        <v>0</v>
      </c>
      <c r="L84" s="725" t="s">
        <v>568</v>
      </c>
    </row>
    <row r="85" spans="2:13">
      <c r="D85" s="514" t="s">
        <v>626</v>
      </c>
      <c r="E85" s="496"/>
      <c r="F85" s="512"/>
      <c r="G85" s="512"/>
      <c r="H85" s="512"/>
      <c r="I85" s="512"/>
      <c r="J85" s="513"/>
      <c r="K85" s="497">
        <f>+BIODIESEL!E9</f>
        <v>351.65</v>
      </c>
      <c r="L85" s="728" t="s">
        <v>570</v>
      </c>
    </row>
    <row r="86" spans="2:13" hidden="1">
      <c r="D86" s="514" t="s">
        <v>627</v>
      </c>
      <c r="E86" s="496"/>
      <c r="F86" s="512"/>
      <c r="G86" s="512"/>
      <c r="H86" s="512"/>
      <c r="I86" s="512"/>
      <c r="J86" s="513"/>
      <c r="K86" s="497">
        <f>+BIODIESEL!E8</f>
        <v>4033.62</v>
      </c>
      <c r="L86" s="728" t="s">
        <v>570</v>
      </c>
    </row>
    <row r="87" spans="2:13" ht="36.65" hidden="1">
      <c r="B87" s="434">
        <v>2</v>
      </c>
      <c r="D87" s="435" t="s">
        <v>395</v>
      </c>
    </row>
    <row r="89" spans="2:13" ht="20.3">
      <c r="D89" s="437" t="s">
        <v>327</v>
      </c>
      <c r="E89" s="438" t="s">
        <v>328</v>
      </c>
      <c r="F89" s="439" t="s">
        <v>329</v>
      </c>
    </row>
    <row r="90" spans="2:13" ht="20.3">
      <c r="D90" s="437"/>
      <c r="E90" s="438"/>
      <c r="F90" s="439" t="s">
        <v>629</v>
      </c>
    </row>
    <row r="91" spans="2:13">
      <c r="D91" s="442" t="s">
        <v>396</v>
      </c>
      <c r="E91" s="470" t="s">
        <v>397</v>
      </c>
      <c r="F91" s="743" t="s">
        <v>334</v>
      </c>
      <c r="G91" s="743"/>
      <c r="H91" s="743"/>
      <c r="I91" s="743"/>
      <c r="J91" s="743"/>
      <c r="K91" s="467">
        <f>+'COMBUSTIBLES '!D7</f>
        <v>7750</v>
      </c>
    </row>
    <row r="92" spans="2:13">
      <c r="D92" s="442" t="s">
        <v>398</v>
      </c>
      <c r="E92" s="470" t="s">
        <v>399</v>
      </c>
      <c r="F92" s="743" t="s">
        <v>334</v>
      </c>
      <c r="G92" s="743"/>
      <c r="H92" s="743"/>
      <c r="I92" s="743"/>
      <c r="J92" s="743"/>
      <c r="K92" s="467">
        <f>+'COMBUSTIBLES '!G7</f>
        <v>10974.98</v>
      </c>
    </row>
    <row r="93" spans="2:13">
      <c r="D93" s="441" t="s">
        <v>400</v>
      </c>
      <c r="E93" s="447"/>
      <c r="F93" s="752" t="s">
        <v>401</v>
      </c>
      <c r="G93" s="752"/>
      <c r="H93" s="752"/>
      <c r="I93" s="752"/>
      <c r="J93" s="752"/>
    </row>
    <row r="94" spans="2:13">
      <c r="D94" s="435" t="s">
        <v>546</v>
      </c>
      <c r="E94" s="436" t="s">
        <v>547</v>
      </c>
      <c r="K94" s="490" t="s">
        <v>572</v>
      </c>
    </row>
    <row r="95" spans="2:13" ht="20.3">
      <c r="D95" s="439" t="s">
        <v>402</v>
      </c>
      <c r="E95" s="436" t="s">
        <v>548</v>
      </c>
    </row>
    <row r="96" spans="2:13">
      <c r="D96" s="444" t="s">
        <v>403</v>
      </c>
    </row>
    <row r="97" spans="4:10">
      <c r="D97" s="444" t="s">
        <v>404</v>
      </c>
    </row>
    <row r="98" spans="4:10">
      <c r="D98" s="444"/>
    </row>
    <row r="99" spans="4:10">
      <c r="D99" s="444" t="s">
        <v>405</v>
      </c>
    </row>
    <row r="100" spans="4:10">
      <c r="D100" s="444"/>
    </row>
    <row r="101" spans="4:10">
      <c r="D101" s="444"/>
    </row>
    <row r="102" spans="4:10" ht="20.3">
      <c r="D102" s="437" t="s">
        <v>406</v>
      </c>
    </row>
    <row r="103" spans="4:10">
      <c r="D103" s="444" t="s">
        <v>407</v>
      </c>
    </row>
    <row r="104" spans="4:10">
      <c r="D104" s="444" t="s">
        <v>347</v>
      </c>
    </row>
    <row r="105" spans="4:10">
      <c r="D105" s="435" t="s">
        <v>348</v>
      </c>
    </row>
    <row r="106" spans="4:10">
      <c r="D106" s="435" t="s">
        <v>349</v>
      </c>
    </row>
    <row r="107" spans="4:10">
      <c r="D107" s="456" t="s">
        <v>556</v>
      </c>
    </row>
    <row r="108" spans="4:10">
      <c r="D108" s="435" t="s">
        <v>351</v>
      </c>
    </row>
    <row r="111" spans="4:10" ht="20.3">
      <c r="D111" s="734" t="s">
        <v>352</v>
      </c>
      <c r="E111" s="735" t="s">
        <v>328</v>
      </c>
      <c r="F111" s="736" t="s">
        <v>329</v>
      </c>
      <c r="G111" s="737"/>
      <c r="H111" s="737"/>
      <c r="I111" s="737"/>
      <c r="J111" s="738"/>
    </row>
    <row r="112" spans="4:10" ht="20.3">
      <c r="D112" s="734"/>
      <c r="E112" s="735"/>
      <c r="F112" s="739" t="s">
        <v>353</v>
      </c>
      <c r="G112" s="740"/>
      <c r="H112" s="740"/>
      <c r="I112" s="740"/>
      <c r="J112" s="741"/>
    </row>
    <row r="113" spans="2:12" ht="15.05" customHeight="1">
      <c r="D113" s="448" t="s">
        <v>408</v>
      </c>
      <c r="E113" s="449"/>
      <c r="F113" s="749" t="s">
        <v>409</v>
      </c>
      <c r="G113" s="750"/>
      <c r="H113" s="750"/>
      <c r="I113" s="750"/>
      <c r="J113" s="751"/>
      <c r="K113" s="492">
        <v>6543.55</v>
      </c>
    </row>
    <row r="114" spans="2:12">
      <c r="D114" s="450" t="s">
        <v>410</v>
      </c>
      <c r="E114" s="473">
        <f>+$K$30</f>
        <v>8.3842000000000017</v>
      </c>
      <c r="F114" s="749"/>
      <c r="G114" s="750"/>
      <c r="H114" s="750"/>
      <c r="I114" s="750"/>
      <c r="J114" s="751"/>
      <c r="K114" s="483">
        <v>7.9</v>
      </c>
      <c r="L114" s="483"/>
    </row>
    <row r="115" spans="2:12">
      <c r="D115" s="450" t="s">
        <v>411</v>
      </c>
      <c r="E115" s="473">
        <f>+$K$30</f>
        <v>8.3842000000000017</v>
      </c>
      <c r="F115" s="749"/>
      <c r="G115" s="750"/>
      <c r="H115" s="750"/>
      <c r="I115" s="750"/>
      <c r="J115" s="751"/>
      <c r="K115" s="435">
        <v>7.9</v>
      </c>
      <c r="L115" s="483"/>
    </row>
    <row r="116" spans="2:12">
      <c r="D116" s="450" t="s">
        <v>412</v>
      </c>
      <c r="E116" s="472">
        <v>0</v>
      </c>
      <c r="F116" s="749"/>
      <c r="G116" s="750"/>
      <c r="H116" s="750"/>
      <c r="I116" s="750"/>
      <c r="J116" s="751"/>
      <c r="K116" s="435">
        <v>0</v>
      </c>
      <c r="L116" s="483"/>
    </row>
    <row r="117" spans="2:12">
      <c r="D117" s="448" t="s">
        <v>413</v>
      </c>
      <c r="E117" s="472" t="s">
        <v>414</v>
      </c>
      <c r="F117" s="749" t="s">
        <v>415</v>
      </c>
      <c r="G117" s="750"/>
      <c r="H117" s="750"/>
      <c r="I117" s="750"/>
      <c r="J117" s="751"/>
      <c r="K117" s="454" t="e">
        <f>+#REF!</f>
        <v>#REF!</v>
      </c>
      <c r="L117" s="483"/>
    </row>
    <row r="118" spans="2:12">
      <c r="D118" s="455" t="s">
        <v>536</v>
      </c>
      <c r="E118" s="472"/>
      <c r="F118" s="744" t="s">
        <v>362</v>
      </c>
      <c r="G118" s="744"/>
      <c r="H118" s="744"/>
      <c r="I118" s="744"/>
      <c r="J118" s="744"/>
      <c r="K118" s="489">
        <f>+Variables!E23</f>
        <v>7107.81</v>
      </c>
      <c r="L118" s="483"/>
    </row>
    <row r="119" spans="2:12">
      <c r="D119" s="450"/>
      <c r="E119" s="474"/>
      <c r="F119" s="749"/>
      <c r="G119" s="750"/>
      <c r="H119" s="750"/>
      <c r="I119" s="750"/>
      <c r="J119" s="751"/>
    </row>
    <row r="120" spans="2:12">
      <c r="D120" s="450" t="s">
        <v>416</v>
      </c>
      <c r="E120" s="472" t="s">
        <v>399</v>
      </c>
      <c r="F120" s="749" t="s">
        <v>417</v>
      </c>
      <c r="G120" s="750"/>
      <c r="H120" s="750"/>
      <c r="I120" s="750"/>
      <c r="J120" s="751"/>
      <c r="K120" s="454">
        <f>+'COMBUSTIBLES '!G7</f>
        <v>10974.98</v>
      </c>
      <c r="L120" s="483"/>
    </row>
    <row r="121" spans="2:12">
      <c r="D121" s="450" t="s">
        <v>418</v>
      </c>
      <c r="E121" s="472">
        <v>0</v>
      </c>
      <c r="F121" s="749"/>
      <c r="G121" s="750"/>
      <c r="H121" s="750"/>
      <c r="I121" s="750"/>
      <c r="J121" s="751"/>
      <c r="K121" s="435">
        <v>0</v>
      </c>
    </row>
    <row r="122" spans="2:12">
      <c r="D122" s="448" t="s">
        <v>419</v>
      </c>
      <c r="E122" s="472"/>
      <c r="F122" s="744" t="s">
        <v>362</v>
      </c>
      <c r="G122" s="744"/>
      <c r="H122" s="744"/>
      <c r="I122" s="744"/>
      <c r="J122" s="744"/>
      <c r="K122" s="491">
        <f>+K118</f>
        <v>7107.81</v>
      </c>
      <c r="L122" s="483"/>
    </row>
    <row r="123" spans="2:12">
      <c r="D123" s="450" t="s">
        <v>420</v>
      </c>
      <c r="E123" s="473">
        <f>+$K$30</f>
        <v>8.3842000000000017</v>
      </c>
      <c r="F123" s="749"/>
      <c r="G123" s="750"/>
      <c r="H123" s="750"/>
      <c r="I123" s="750"/>
      <c r="J123" s="751"/>
      <c r="K123" s="435">
        <v>7.9</v>
      </c>
      <c r="L123" s="483"/>
    </row>
    <row r="124" spans="2:12">
      <c r="D124" s="451" t="s">
        <v>421</v>
      </c>
      <c r="E124" s="472" t="s">
        <v>414</v>
      </c>
      <c r="F124" s="749" t="s">
        <v>415</v>
      </c>
      <c r="G124" s="750"/>
      <c r="H124" s="750"/>
      <c r="I124" s="750"/>
      <c r="J124" s="751"/>
      <c r="K124" s="454" t="e">
        <f>+#REF!</f>
        <v>#REF!</v>
      </c>
      <c r="L124" s="483"/>
    </row>
    <row r="128" spans="2:12" ht="36.65" outlineLevel="2">
      <c r="B128" s="434">
        <v>3</v>
      </c>
      <c r="D128" s="435" t="s">
        <v>422</v>
      </c>
    </row>
    <row r="129" spans="4:10" outlineLevel="2"/>
    <row r="130" spans="4:10" ht="20.3" outlineLevel="2">
      <c r="D130" s="437" t="s">
        <v>327</v>
      </c>
      <c r="E130" s="438" t="s">
        <v>328</v>
      </c>
      <c r="F130" s="439" t="s">
        <v>329</v>
      </c>
    </row>
    <row r="131" spans="4:10" ht="20.3" outlineLevel="2">
      <c r="D131" s="437"/>
      <c r="E131" s="438"/>
      <c r="F131" s="439" t="s">
        <v>530</v>
      </c>
    </row>
    <row r="132" spans="4:10" outlineLevel="2">
      <c r="D132" s="442" t="s">
        <v>423</v>
      </c>
      <c r="E132" s="440" t="s">
        <v>424</v>
      </c>
      <c r="F132" s="743" t="s">
        <v>425</v>
      </c>
      <c r="G132" s="743"/>
      <c r="H132" s="743"/>
      <c r="I132" s="743"/>
      <c r="J132" s="743"/>
    </row>
    <row r="133" spans="4:10" outlineLevel="2">
      <c r="D133" s="442" t="s">
        <v>426</v>
      </c>
      <c r="E133" s="440" t="s">
        <v>427</v>
      </c>
      <c r="F133" s="743" t="s">
        <v>425</v>
      </c>
      <c r="G133" s="743"/>
      <c r="H133" s="743"/>
      <c r="I133" s="743"/>
      <c r="J133" s="743"/>
    </row>
    <row r="134" spans="4:10" outlineLevel="2"/>
    <row r="135" spans="4:10" outlineLevel="2"/>
    <row r="136" spans="4:10" ht="20.3" outlineLevel="2">
      <c r="D136" s="437" t="s">
        <v>428</v>
      </c>
    </row>
    <row r="137" spans="4:10" outlineLevel="2">
      <c r="D137" s="444" t="s">
        <v>429</v>
      </c>
    </row>
    <row r="138" spans="4:10" outlineLevel="2">
      <c r="D138" s="444" t="s">
        <v>347</v>
      </c>
    </row>
    <row r="139" spans="4:10" outlineLevel="2">
      <c r="D139" s="435" t="s">
        <v>348</v>
      </c>
    </row>
    <row r="140" spans="4:10" outlineLevel="2">
      <c r="D140" s="435" t="s">
        <v>349</v>
      </c>
    </row>
    <row r="141" spans="4:10" outlineLevel="2">
      <c r="D141" s="435" t="s">
        <v>430</v>
      </c>
    </row>
    <row r="142" spans="4:10" outlineLevel="2">
      <c r="D142" s="435" t="s">
        <v>351</v>
      </c>
    </row>
    <row r="143" spans="4:10" outlineLevel="2"/>
    <row r="144" spans="4:10" outlineLevel="2"/>
    <row r="145" spans="4:10" ht="20.3" outlineLevel="2">
      <c r="D145" s="734" t="s">
        <v>352</v>
      </c>
      <c r="E145" s="735" t="s">
        <v>328</v>
      </c>
      <c r="F145" s="736" t="s">
        <v>329</v>
      </c>
      <c r="G145" s="737"/>
      <c r="H145" s="737"/>
      <c r="I145" s="737"/>
      <c r="J145" s="738"/>
    </row>
    <row r="146" spans="4:10" ht="20.3" outlineLevel="2">
      <c r="D146" s="734"/>
      <c r="E146" s="735"/>
      <c r="F146" s="739" t="s">
        <v>431</v>
      </c>
      <c r="G146" s="740"/>
      <c r="H146" s="740"/>
      <c r="I146" s="740"/>
      <c r="J146" s="741"/>
    </row>
    <row r="147" spans="4:10" outlineLevel="2">
      <c r="D147" s="448" t="s">
        <v>432</v>
      </c>
      <c r="E147" s="446" t="s">
        <v>360</v>
      </c>
      <c r="F147" s="743" t="s">
        <v>433</v>
      </c>
      <c r="G147" s="743"/>
      <c r="H147" s="743"/>
      <c r="I147" s="743"/>
      <c r="J147" s="743"/>
    </row>
    <row r="148" spans="4:10" outlineLevel="2">
      <c r="D148" s="448" t="s">
        <v>434</v>
      </c>
      <c r="E148" s="446" t="s">
        <v>374</v>
      </c>
      <c r="F148" s="743" t="s">
        <v>435</v>
      </c>
      <c r="G148" s="743"/>
      <c r="H148" s="743"/>
      <c r="I148" s="743"/>
      <c r="J148" s="743"/>
    </row>
    <row r="149" spans="4:10" outlineLevel="2">
      <c r="D149" s="448" t="s">
        <v>436</v>
      </c>
      <c r="E149" s="446" t="s">
        <v>338</v>
      </c>
      <c r="F149" s="743" t="s">
        <v>437</v>
      </c>
      <c r="G149" s="743"/>
      <c r="H149" s="743"/>
      <c r="I149" s="743"/>
      <c r="J149" s="743"/>
    </row>
    <row r="150" spans="4:10" outlineLevel="2">
      <c r="D150" s="448" t="s">
        <v>438</v>
      </c>
      <c r="E150" s="446" t="s">
        <v>333</v>
      </c>
      <c r="F150" s="743" t="s">
        <v>437</v>
      </c>
      <c r="G150" s="743"/>
      <c r="H150" s="743"/>
      <c r="I150" s="743"/>
      <c r="J150" s="743"/>
    </row>
    <row r="151" spans="4:10" outlineLevel="2">
      <c r="D151" s="448" t="s">
        <v>439</v>
      </c>
      <c r="E151" s="446" t="s">
        <v>384</v>
      </c>
      <c r="F151" s="743" t="s">
        <v>440</v>
      </c>
      <c r="G151" s="743"/>
      <c r="H151" s="743"/>
      <c r="I151" s="743"/>
      <c r="J151" s="743"/>
    </row>
    <row r="152" spans="4:10" outlineLevel="2">
      <c r="D152" s="448" t="s">
        <v>441</v>
      </c>
      <c r="E152" s="446" t="s">
        <v>442</v>
      </c>
      <c r="F152" s="743" t="s">
        <v>440</v>
      </c>
      <c r="G152" s="743"/>
      <c r="H152" s="743"/>
      <c r="I152" s="743"/>
      <c r="J152" s="743"/>
    </row>
    <row r="153" spans="4:10" ht="15.05" customHeight="1" outlineLevel="2">
      <c r="D153" s="448" t="s">
        <v>443</v>
      </c>
      <c r="E153" s="446" t="s">
        <v>444</v>
      </c>
      <c r="F153" s="743" t="s">
        <v>440</v>
      </c>
      <c r="G153" s="743"/>
      <c r="H153" s="743"/>
      <c r="I153" s="743"/>
      <c r="J153" s="743"/>
    </row>
    <row r="154" spans="4:10" ht="15.05" customHeight="1" outlineLevel="2">
      <c r="D154" s="448" t="s">
        <v>445</v>
      </c>
      <c r="E154" s="446" t="s">
        <v>446</v>
      </c>
      <c r="F154" s="743" t="s">
        <v>440</v>
      </c>
      <c r="G154" s="743"/>
      <c r="H154" s="743"/>
      <c r="I154" s="743"/>
      <c r="J154" s="743"/>
    </row>
    <row r="155" spans="4:10" ht="15.05" customHeight="1" outlineLevel="2">
      <c r="D155" s="448" t="s">
        <v>447</v>
      </c>
      <c r="E155" s="446" t="s">
        <v>448</v>
      </c>
      <c r="F155" s="743" t="s">
        <v>440</v>
      </c>
      <c r="G155" s="743"/>
      <c r="H155" s="743"/>
      <c r="I155" s="743"/>
      <c r="J155" s="743"/>
    </row>
    <row r="156" spans="4:10" outlineLevel="2">
      <c r="D156" s="448" t="s">
        <v>449</v>
      </c>
      <c r="E156" s="446" t="s">
        <v>450</v>
      </c>
      <c r="F156" s="743" t="s">
        <v>440</v>
      </c>
      <c r="G156" s="743"/>
      <c r="H156" s="743"/>
      <c r="I156" s="743"/>
      <c r="J156" s="743"/>
    </row>
    <row r="157" spans="4:10" outlineLevel="2">
      <c r="D157" s="448" t="s">
        <v>451</v>
      </c>
      <c r="E157" s="446" t="s">
        <v>338</v>
      </c>
      <c r="F157" s="743" t="s">
        <v>437</v>
      </c>
      <c r="G157" s="743"/>
      <c r="H157" s="743"/>
      <c r="I157" s="743"/>
      <c r="J157" s="743"/>
    </row>
    <row r="158" spans="4:10" outlineLevel="2">
      <c r="D158" s="448" t="s">
        <v>452</v>
      </c>
      <c r="E158" s="446" t="s">
        <v>448</v>
      </c>
      <c r="F158" s="743" t="s">
        <v>453</v>
      </c>
      <c r="G158" s="743"/>
      <c r="H158" s="743"/>
      <c r="I158" s="743"/>
      <c r="J158" s="743"/>
    </row>
    <row r="159" spans="4:10" outlineLevel="2">
      <c r="D159" s="448" t="s">
        <v>454</v>
      </c>
      <c r="E159" s="446" t="s">
        <v>455</v>
      </c>
      <c r="F159" s="743" t="s">
        <v>440</v>
      </c>
      <c r="G159" s="743"/>
      <c r="H159" s="743"/>
      <c r="I159" s="743"/>
      <c r="J159" s="743"/>
    </row>
    <row r="160" spans="4:10" outlineLevel="2">
      <c r="D160" s="448" t="s">
        <v>456</v>
      </c>
      <c r="E160" s="446">
        <v>0</v>
      </c>
      <c r="F160" s="743"/>
      <c r="G160" s="743"/>
      <c r="H160" s="743"/>
      <c r="I160" s="743"/>
      <c r="J160" s="743"/>
    </row>
    <row r="161" spans="2:10" outlineLevel="2">
      <c r="D161" s="448" t="s">
        <v>457</v>
      </c>
      <c r="E161" s="446" t="s">
        <v>458</v>
      </c>
      <c r="F161" s="743" t="s">
        <v>440</v>
      </c>
      <c r="G161" s="743"/>
      <c r="H161" s="743"/>
      <c r="I161" s="743"/>
      <c r="J161" s="743"/>
    </row>
    <row r="162" spans="2:10" outlineLevel="2">
      <c r="D162" s="448" t="s">
        <v>459</v>
      </c>
      <c r="E162" s="446" t="s">
        <v>460</v>
      </c>
      <c r="F162" s="743" t="s">
        <v>440</v>
      </c>
      <c r="G162" s="743"/>
      <c r="H162" s="743"/>
      <c r="I162" s="743"/>
      <c r="J162" s="743"/>
    </row>
    <row r="163" spans="2:10" outlineLevel="2">
      <c r="D163" s="448" t="s">
        <v>461</v>
      </c>
      <c r="E163" s="446" t="s">
        <v>462</v>
      </c>
      <c r="F163" s="743" t="s">
        <v>463</v>
      </c>
      <c r="G163" s="743"/>
      <c r="H163" s="743"/>
      <c r="I163" s="743"/>
      <c r="J163" s="743"/>
    </row>
    <row r="164" spans="2:10" outlineLevel="2">
      <c r="D164" s="448" t="s">
        <v>464</v>
      </c>
      <c r="E164" s="446" t="s">
        <v>465</v>
      </c>
      <c r="F164" s="743" t="s">
        <v>463</v>
      </c>
      <c r="G164" s="743"/>
      <c r="H164" s="743"/>
      <c r="I164" s="743"/>
      <c r="J164" s="743"/>
    </row>
    <row r="165" spans="2:10" outlineLevel="2">
      <c r="D165" s="448" t="s">
        <v>466</v>
      </c>
      <c r="E165" s="446" t="s">
        <v>467</v>
      </c>
      <c r="F165" s="743" t="s">
        <v>463</v>
      </c>
      <c r="G165" s="743"/>
      <c r="H165" s="743"/>
      <c r="I165" s="743"/>
      <c r="J165" s="743"/>
    </row>
    <row r="166" spans="2:10" outlineLevel="2">
      <c r="D166" s="448" t="s">
        <v>468</v>
      </c>
      <c r="E166" s="446" t="s">
        <v>469</v>
      </c>
      <c r="F166" s="743" t="s">
        <v>470</v>
      </c>
      <c r="G166" s="743"/>
      <c r="H166" s="743"/>
      <c r="I166" s="743"/>
      <c r="J166" s="743"/>
    </row>
    <row r="167" spans="2:10" outlineLevel="2">
      <c r="D167" s="448" t="s">
        <v>471</v>
      </c>
      <c r="E167" s="446" t="s">
        <v>472</v>
      </c>
      <c r="F167" s="743" t="s">
        <v>470</v>
      </c>
      <c r="G167" s="743"/>
      <c r="H167" s="743"/>
      <c r="I167" s="743"/>
      <c r="J167" s="743"/>
    </row>
    <row r="168" spans="2:10" outlineLevel="2">
      <c r="D168" s="448" t="s">
        <v>473</v>
      </c>
      <c r="E168" s="446" t="s">
        <v>474</v>
      </c>
      <c r="F168" s="743" t="s">
        <v>470</v>
      </c>
      <c r="G168" s="743"/>
      <c r="H168" s="743"/>
      <c r="I168" s="743"/>
      <c r="J168" s="743"/>
    </row>
    <row r="169" spans="2:10" outlineLevel="2">
      <c r="D169" s="448" t="s">
        <v>475</v>
      </c>
      <c r="E169" s="446" t="s">
        <v>476</v>
      </c>
      <c r="F169" s="743" t="s">
        <v>477</v>
      </c>
      <c r="G169" s="743"/>
      <c r="H169" s="743"/>
      <c r="I169" s="743"/>
      <c r="J169" s="743"/>
    </row>
    <row r="170" spans="2:10" outlineLevel="2">
      <c r="D170" s="448" t="s">
        <v>478</v>
      </c>
      <c r="E170" s="446" t="s">
        <v>424</v>
      </c>
      <c r="F170" s="743" t="s">
        <v>477</v>
      </c>
      <c r="G170" s="743"/>
      <c r="H170" s="743"/>
      <c r="I170" s="743"/>
      <c r="J170" s="743"/>
    </row>
    <row r="171" spans="2:10" outlineLevel="2">
      <c r="D171" s="448" t="s">
        <v>479</v>
      </c>
      <c r="E171" s="446" t="s">
        <v>480</v>
      </c>
      <c r="F171" s="743" t="s">
        <v>477</v>
      </c>
      <c r="G171" s="743"/>
      <c r="H171" s="743"/>
      <c r="I171" s="743"/>
      <c r="J171" s="743"/>
    </row>
    <row r="172" spans="2:10" outlineLevel="2">
      <c r="D172" s="448" t="s">
        <v>481</v>
      </c>
      <c r="E172" s="446">
        <v>0</v>
      </c>
      <c r="F172" s="743"/>
      <c r="G172" s="743"/>
      <c r="H172" s="743"/>
      <c r="I172" s="743"/>
      <c r="J172" s="743"/>
    </row>
    <row r="173" spans="2:10">
      <c r="D173" s="452"/>
      <c r="E173" s="460"/>
    </row>
    <row r="174" spans="2:10">
      <c r="D174" s="452"/>
      <c r="E174" s="460"/>
    </row>
    <row r="175" spans="2:10" ht="36.65">
      <c r="B175" s="434">
        <v>4</v>
      </c>
      <c r="D175" s="439" t="s">
        <v>482</v>
      </c>
    </row>
    <row r="176" spans="2:10">
      <c r="D176" s="452"/>
    </row>
    <row r="177" spans="4:12">
      <c r="D177" s="452"/>
    </row>
    <row r="178" spans="4:12" ht="20.3">
      <c r="D178" s="437" t="s">
        <v>483</v>
      </c>
    </row>
    <row r="179" spans="4:12">
      <c r="D179" s="444" t="s">
        <v>484</v>
      </c>
    </row>
    <row r="180" spans="4:12">
      <c r="D180" s="444" t="s">
        <v>347</v>
      </c>
    </row>
    <row r="181" spans="4:12">
      <c r="D181" s="435" t="s">
        <v>348</v>
      </c>
    </row>
    <row r="182" spans="4:12">
      <c r="D182" s="435" t="s">
        <v>349</v>
      </c>
    </row>
    <row r="183" spans="4:12">
      <c r="D183" s="435" t="s">
        <v>485</v>
      </c>
    </row>
    <row r="184" spans="4:12">
      <c r="D184" s="435" t="s">
        <v>351</v>
      </c>
    </row>
    <row r="186" spans="4:12">
      <c r="D186" s="452"/>
    </row>
    <row r="187" spans="4:12" ht="20.3">
      <c r="D187" s="734" t="s">
        <v>352</v>
      </c>
      <c r="E187" s="735" t="s">
        <v>328</v>
      </c>
      <c r="F187" s="736" t="s">
        <v>329</v>
      </c>
      <c r="G187" s="737"/>
      <c r="H187" s="737"/>
      <c r="I187" s="737"/>
      <c r="J187" s="738"/>
    </row>
    <row r="188" spans="4:12" ht="20.3">
      <c r="D188" s="734"/>
      <c r="E188" s="735"/>
      <c r="F188" s="739" t="s">
        <v>531</v>
      </c>
      <c r="G188" s="740"/>
      <c r="H188" s="740"/>
      <c r="I188" s="740"/>
      <c r="J188" s="741"/>
    </row>
    <row r="189" spans="4:12">
      <c r="D189" s="665" t="s">
        <v>486</v>
      </c>
      <c r="E189" s="479" t="s">
        <v>374</v>
      </c>
      <c r="F189" s="743" t="s">
        <v>435</v>
      </c>
      <c r="G189" s="743"/>
      <c r="H189" s="743"/>
      <c r="I189" s="743"/>
      <c r="J189" s="743"/>
      <c r="K189" s="454">
        <f>+BIODIESEL!E9</f>
        <v>351.65</v>
      </c>
      <c r="L189" s="705" t="s">
        <v>570</v>
      </c>
    </row>
    <row r="190" spans="4:12">
      <c r="D190" s="448" t="s">
        <v>487</v>
      </c>
      <c r="E190" s="479" t="s">
        <v>341</v>
      </c>
      <c r="F190" s="743" t="s">
        <v>435</v>
      </c>
      <c r="G190" s="743"/>
      <c r="H190" s="743"/>
      <c r="I190" s="743"/>
      <c r="J190" s="743"/>
      <c r="K190" s="454">
        <f>+BIODIESEL!E10</f>
        <v>4385.2699999999995</v>
      </c>
      <c r="L190" s="705" t="s">
        <v>570</v>
      </c>
    </row>
    <row r="191" spans="4:12">
      <c r="D191" s="448" t="s">
        <v>488</v>
      </c>
      <c r="E191" s="479" t="s">
        <v>360</v>
      </c>
      <c r="F191" s="743" t="s">
        <v>435</v>
      </c>
      <c r="G191" s="743"/>
      <c r="H191" s="743"/>
      <c r="I191" s="743"/>
      <c r="J191" s="743"/>
      <c r="K191" s="454">
        <f>+BIODIESEL!E8</f>
        <v>4033.62</v>
      </c>
      <c r="L191" s="705" t="s">
        <v>570</v>
      </c>
    </row>
    <row r="192" spans="4:12">
      <c r="D192" s="445" t="s">
        <v>489</v>
      </c>
      <c r="E192" s="479">
        <v>7.67</v>
      </c>
      <c r="F192" s="754"/>
      <c r="G192" s="754"/>
      <c r="H192" s="754"/>
      <c r="I192" s="754"/>
      <c r="J192" s="754"/>
      <c r="K192" s="478"/>
    </row>
    <row r="193" spans="2:12">
      <c r="D193" s="448" t="s">
        <v>490</v>
      </c>
      <c r="E193" s="479" t="s">
        <v>333</v>
      </c>
      <c r="F193" s="743" t="s">
        <v>437</v>
      </c>
      <c r="G193" s="743"/>
      <c r="H193" s="743"/>
      <c r="I193" s="743"/>
      <c r="J193" s="743"/>
      <c r="K193" s="454">
        <f>+'COMBUSTIBLES '!E7</f>
        <v>4115.9399999999996</v>
      </c>
      <c r="L193" s="499" t="s">
        <v>568</v>
      </c>
    </row>
    <row r="194" spans="2:12">
      <c r="D194" s="448" t="s">
        <v>491</v>
      </c>
      <c r="E194" s="479" t="s">
        <v>343</v>
      </c>
      <c r="F194" s="743" t="s">
        <v>435</v>
      </c>
      <c r="G194" s="743"/>
      <c r="H194" s="743"/>
      <c r="I194" s="743"/>
      <c r="J194" s="743"/>
      <c r="K194" s="454">
        <f>+BIODIESEL!F10</f>
        <v>5462.6139999999996</v>
      </c>
      <c r="L194" s="499" t="s">
        <v>568</v>
      </c>
    </row>
    <row r="195" spans="2:12">
      <c r="D195" s="445" t="s">
        <v>492</v>
      </c>
      <c r="E195" s="479">
        <v>7.67</v>
      </c>
      <c r="F195" s="746"/>
      <c r="G195" s="747"/>
      <c r="H195" s="747"/>
      <c r="I195" s="747"/>
      <c r="J195" s="748"/>
      <c r="K195" s="478"/>
    </row>
    <row r="196" spans="2:12">
      <c r="D196" s="448" t="s">
        <v>493</v>
      </c>
      <c r="E196" s="479" t="s">
        <v>384</v>
      </c>
      <c r="F196" s="743" t="s">
        <v>435</v>
      </c>
      <c r="G196" s="743"/>
      <c r="H196" s="743"/>
      <c r="I196" s="743"/>
      <c r="J196" s="743"/>
      <c r="K196" s="454">
        <f>+BIODIESEL!F8</f>
        <v>3704.346</v>
      </c>
      <c r="L196" s="499" t="s">
        <v>568</v>
      </c>
    </row>
    <row r="197" spans="2:12">
      <c r="D197" s="448" t="s">
        <v>494</v>
      </c>
      <c r="E197" s="479" t="s">
        <v>386</v>
      </c>
      <c r="F197" s="743" t="s">
        <v>435</v>
      </c>
      <c r="G197" s="743"/>
      <c r="H197" s="743"/>
      <c r="I197" s="743"/>
      <c r="J197" s="743"/>
      <c r="K197" s="454">
        <f>+BIODIESEL!F9</f>
        <v>1758.268</v>
      </c>
      <c r="L197" s="499" t="s">
        <v>568</v>
      </c>
    </row>
    <row r="198" spans="2:12">
      <c r="E198" s="461"/>
    </row>
    <row r="199" spans="2:12">
      <c r="E199" s="460"/>
    </row>
    <row r="201" spans="2:12" ht="36.65">
      <c r="B201" s="434">
        <v>5</v>
      </c>
      <c r="D201" s="439" t="s">
        <v>495</v>
      </c>
    </row>
    <row r="203" spans="2:12" ht="20.3">
      <c r="D203" s="437" t="s">
        <v>496</v>
      </c>
    </row>
    <row r="204" spans="2:12">
      <c r="D204" s="443" t="s">
        <v>550</v>
      </c>
    </row>
    <row r="205" spans="2:12">
      <c r="D205" s="435" t="s">
        <v>543</v>
      </c>
    </row>
    <row r="206" spans="2:12">
      <c r="D206" s="435" t="s">
        <v>551</v>
      </c>
    </row>
    <row r="207" spans="2:12">
      <c r="D207" s="444" t="s">
        <v>497</v>
      </c>
    </row>
    <row r="208" spans="2:12">
      <c r="D208" s="444" t="s">
        <v>347</v>
      </c>
    </row>
    <row r="209" spans="4:20">
      <c r="D209" s="435" t="s">
        <v>348</v>
      </c>
    </row>
    <row r="210" spans="4:20">
      <c r="D210" s="435" t="s">
        <v>349</v>
      </c>
    </row>
    <row r="211" spans="4:20">
      <c r="D211" s="435" t="s">
        <v>485</v>
      </c>
    </row>
    <row r="212" spans="4:20">
      <c r="D212" s="435" t="s">
        <v>351</v>
      </c>
    </row>
    <row r="215" spans="4:20" ht="20.3">
      <c r="D215" s="742" t="s">
        <v>327</v>
      </c>
      <c r="E215" s="735" t="s">
        <v>328</v>
      </c>
      <c r="F215" s="736" t="s">
        <v>329</v>
      </c>
      <c r="G215" s="737"/>
      <c r="H215" s="737"/>
      <c r="I215" s="737"/>
      <c r="J215" s="737"/>
      <c r="K215" s="738"/>
    </row>
    <row r="216" spans="4:20" ht="20.3">
      <c r="D216" s="742"/>
      <c r="E216" s="735"/>
      <c r="F216" s="739" t="s">
        <v>330</v>
      </c>
      <c r="G216" s="740"/>
      <c r="H216" s="740"/>
      <c r="I216" s="740"/>
      <c r="J216" s="740"/>
      <c r="K216" s="741"/>
    </row>
    <row r="217" spans="4:20">
      <c r="D217" s="450" t="s">
        <v>498</v>
      </c>
      <c r="E217" s="479" t="s">
        <v>499</v>
      </c>
      <c r="F217" s="745" t="s">
        <v>500</v>
      </c>
      <c r="G217" s="745"/>
      <c r="H217" s="745"/>
      <c r="I217" s="745"/>
      <c r="J217" s="745"/>
      <c r="K217" s="477"/>
    </row>
    <row r="218" spans="4:20">
      <c r="D218" s="448" t="s">
        <v>501</v>
      </c>
      <c r="E218" s="479" t="s">
        <v>502</v>
      </c>
      <c r="F218" s="743" t="s">
        <v>500</v>
      </c>
      <c r="G218" s="743"/>
      <c r="H218" s="743"/>
      <c r="I218" s="743"/>
      <c r="J218" s="743"/>
      <c r="K218" s="476" t="e">
        <f>+#REF!</f>
        <v>#REF!</v>
      </c>
      <c r="L218" s="657"/>
    </row>
    <row r="219" spans="4:20">
      <c r="D219" s="448" t="s">
        <v>503</v>
      </c>
      <c r="E219" s="479" t="s">
        <v>502</v>
      </c>
      <c r="F219" s="743" t="s">
        <v>500</v>
      </c>
      <c r="G219" s="743"/>
      <c r="H219" s="743"/>
      <c r="I219" s="743"/>
      <c r="J219" s="743"/>
      <c r="K219" s="476" t="e">
        <f>+#REF!</f>
        <v>#REF!</v>
      </c>
      <c r="L219" s="673" t="s">
        <v>570</v>
      </c>
    </row>
    <row r="220" spans="4:20">
      <c r="D220" s="445" t="s">
        <v>504</v>
      </c>
      <c r="E220" s="479" t="s">
        <v>505</v>
      </c>
      <c r="F220" s="743" t="s">
        <v>500</v>
      </c>
      <c r="G220" s="743"/>
      <c r="H220" s="743"/>
      <c r="I220" s="743"/>
      <c r="J220" s="743"/>
      <c r="K220" s="476" t="e">
        <f>+#REF!</f>
        <v>#REF!</v>
      </c>
      <c r="L220" s="673" t="s">
        <v>570</v>
      </c>
      <c r="T220" s="435" t="s">
        <v>549</v>
      </c>
    </row>
    <row r="221" spans="4:20">
      <c r="D221" s="445" t="s">
        <v>506</v>
      </c>
      <c r="E221" s="479" t="s">
        <v>507</v>
      </c>
      <c r="F221" s="743" t="s">
        <v>500</v>
      </c>
      <c r="G221" s="743"/>
      <c r="H221" s="743"/>
      <c r="I221" s="743"/>
      <c r="J221" s="743"/>
      <c r="K221" s="476" t="e">
        <f>+#REF!</f>
        <v>#REF!</v>
      </c>
      <c r="L221" s="673" t="s">
        <v>570</v>
      </c>
    </row>
    <row r="222" spans="4:20">
      <c r="D222" s="445" t="s">
        <v>581</v>
      </c>
      <c r="E222" s="479"/>
      <c r="F222" s="743" t="s">
        <v>500</v>
      </c>
      <c r="G222" s="743"/>
      <c r="H222" s="743"/>
      <c r="I222" s="743"/>
      <c r="J222" s="743"/>
      <c r="K222" s="476">
        <f>+'DIESEL MARINO'!F109</f>
        <v>946.66619999999966</v>
      </c>
      <c r="L222" s="673" t="s">
        <v>570</v>
      </c>
    </row>
    <row r="223" spans="4:20" ht="15.9" customHeight="1">
      <c r="D223" s="445" t="s">
        <v>582</v>
      </c>
      <c r="E223" s="479"/>
      <c r="F223" s="743" t="s">
        <v>500</v>
      </c>
      <c r="G223" s="743"/>
      <c r="H223" s="743"/>
      <c r="I223" s="743"/>
      <c r="J223" s="743"/>
      <c r="K223" s="476">
        <f>+'DIESEL MARINO'!F110</f>
        <v>927.72807599999942</v>
      </c>
      <c r="L223" s="673" t="s">
        <v>570</v>
      </c>
    </row>
    <row r="224" spans="4:20" ht="15.9" customHeight="1">
      <c r="D224" s="578"/>
      <c r="E224" s="496"/>
      <c r="F224" s="513"/>
      <c r="G224" s="513"/>
      <c r="H224" s="513"/>
      <c r="I224" s="513"/>
      <c r="J224" s="513"/>
      <c r="K224" s="579"/>
      <c r="L224" s="499"/>
    </row>
    <row r="225" spans="2:10">
      <c r="E225" s="460"/>
    </row>
    <row r="226" spans="2:10" ht="36.65">
      <c r="B226" s="434">
        <v>6</v>
      </c>
      <c r="D226" s="439" t="s">
        <v>508</v>
      </c>
      <c r="E226" s="460"/>
    </row>
    <row r="228" spans="2:10" ht="20.3">
      <c r="D228" s="437" t="s">
        <v>509</v>
      </c>
    </row>
    <row r="229" spans="2:10">
      <c r="D229" s="444" t="s">
        <v>510</v>
      </c>
    </row>
    <row r="230" spans="2:10">
      <c r="D230" s="444" t="s">
        <v>347</v>
      </c>
    </row>
    <row r="231" spans="2:10">
      <c r="D231" s="435" t="s">
        <v>348</v>
      </c>
    </row>
    <row r="232" spans="2:10">
      <c r="D232" s="435" t="s">
        <v>349</v>
      </c>
    </row>
    <row r="233" spans="2:10">
      <c r="D233" s="435" t="s">
        <v>485</v>
      </c>
    </row>
    <row r="234" spans="2:10">
      <c r="D234" s="435" t="s">
        <v>351</v>
      </c>
    </row>
    <row r="236" spans="2:10" ht="20.3">
      <c r="D236" s="734" t="s">
        <v>352</v>
      </c>
      <c r="E236" s="735" t="s">
        <v>328</v>
      </c>
      <c r="F236" s="736" t="s">
        <v>329</v>
      </c>
      <c r="G236" s="737"/>
      <c r="H236" s="737"/>
      <c r="I236" s="737"/>
      <c r="J236" s="738"/>
    </row>
    <row r="237" spans="2:10" ht="20.3">
      <c r="D237" s="734"/>
      <c r="E237" s="735"/>
      <c r="F237" s="739" t="s">
        <v>431</v>
      </c>
      <c r="G237" s="740"/>
      <c r="H237" s="740"/>
      <c r="I237" s="740"/>
      <c r="J237" s="741"/>
    </row>
    <row r="238" spans="2:10">
      <c r="D238" s="450" t="s">
        <v>511</v>
      </c>
      <c r="E238" s="446" t="s">
        <v>512</v>
      </c>
      <c r="F238" s="743" t="s">
        <v>513</v>
      </c>
      <c r="G238" s="743"/>
      <c r="H238" s="743"/>
      <c r="I238" s="743"/>
      <c r="J238" s="743"/>
    </row>
    <row r="239" spans="2:10">
      <c r="D239" s="448" t="s">
        <v>514</v>
      </c>
      <c r="E239" s="446" t="s">
        <v>462</v>
      </c>
      <c r="F239" s="743" t="s">
        <v>513</v>
      </c>
      <c r="G239" s="743"/>
      <c r="H239" s="743"/>
      <c r="I239" s="743"/>
      <c r="J239" s="743"/>
    </row>
    <row r="240" spans="2:10">
      <c r="D240" s="448" t="s">
        <v>515</v>
      </c>
      <c r="E240" s="446" t="s">
        <v>448</v>
      </c>
      <c r="F240" s="743" t="s">
        <v>513</v>
      </c>
      <c r="G240" s="743"/>
      <c r="H240" s="743"/>
      <c r="I240" s="743"/>
      <c r="J240" s="743"/>
    </row>
    <row r="241" spans="2:5">
      <c r="E241" s="435"/>
    </row>
    <row r="243" spans="2:5" ht="36.65">
      <c r="B243" s="434">
        <v>7</v>
      </c>
      <c r="D243" s="439" t="s">
        <v>516</v>
      </c>
    </row>
    <row r="245" spans="2:5" ht="20.3">
      <c r="D245" s="437" t="s">
        <v>517</v>
      </c>
    </row>
    <row r="246" spans="2:5">
      <c r="D246" s="444" t="s">
        <v>518</v>
      </c>
    </row>
    <row r="247" spans="2:5">
      <c r="D247" s="444" t="s">
        <v>347</v>
      </c>
    </row>
    <row r="248" spans="2:5">
      <c r="D248" s="435" t="s">
        <v>348</v>
      </c>
    </row>
    <row r="249" spans="2:5">
      <c r="D249" s="435" t="s">
        <v>349</v>
      </c>
    </row>
    <row r="250" spans="2:5">
      <c r="D250" s="435" t="s">
        <v>485</v>
      </c>
    </row>
    <row r="251" spans="2:5" ht="20.3">
      <c r="D251" s="462" t="s">
        <v>519</v>
      </c>
    </row>
    <row r="255" spans="2:5" ht="36.65">
      <c r="B255" s="434">
        <v>8</v>
      </c>
      <c r="D255" s="439" t="s">
        <v>520</v>
      </c>
    </row>
    <row r="257" spans="4:12" ht="20.3">
      <c r="D257" s="437" t="s">
        <v>521</v>
      </c>
    </row>
    <row r="258" spans="4:12">
      <c r="D258" s="444" t="s">
        <v>522</v>
      </c>
    </row>
    <row r="259" spans="4:12">
      <c r="D259" s="444" t="s">
        <v>347</v>
      </c>
    </row>
    <row r="260" spans="4:12">
      <c r="D260" s="435" t="s">
        <v>348</v>
      </c>
    </row>
    <row r="261" spans="4:12">
      <c r="D261" s="435" t="s">
        <v>349</v>
      </c>
    </row>
    <row r="262" spans="4:12">
      <c r="D262" s="435" t="s">
        <v>485</v>
      </c>
    </row>
    <row r="263" spans="4:12">
      <c r="D263" s="435" t="s">
        <v>351</v>
      </c>
    </row>
    <row r="264" spans="4:12">
      <c r="D264" s="443"/>
    </row>
    <row r="266" spans="4:12" ht="20.3">
      <c r="D266" s="742" t="s">
        <v>327</v>
      </c>
      <c r="E266" s="735" t="s">
        <v>328</v>
      </c>
      <c r="F266" s="736" t="s">
        <v>329</v>
      </c>
      <c r="G266" s="737"/>
      <c r="H266" s="737"/>
      <c r="I266" s="737"/>
      <c r="J266" s="737"/>
      <c r="K266" s="738"/>
    </row>
    <row r="267" spans="4:12" ht="20.3">
      <c r="D267" s="742"/>
      <c r="E267" s="735"/>
      <c r="F267" s="739" t="s">
        <v>330</v>
      </c>
      <c r="G267" s="740"/>
      <c r="H267" s="740"/>
      <c r="I267" s="740"/>
      <c r="J267" s="740"/>
      <c r="K267" s="741"/>
    </row>
    <row r="268" spans="4:12">
      <c r="D268" s="450" t="s">
        <v>523</v>
      </c>
      <c r="E268" s="468" t="s">
        <v>366</v>
      </c>
      <c r="F268" s="743" t="s">
        <v>334</v>
      </c>
      <c r="G268" s="743"/>
      <c r="H268" s="743"/>
      <c r="I268" s="743"/>
      <c r="J268" s="743"/>
      <c r="K268" s="463">
        <f>+'COMBUSTIBLES '!B8</f>
        <v>8.3842000000000017</v>
      </c>
      <c r="L268" s="486" t="s">
        <v>570</v>
      </c>
    </row>
    <row r="269" spans="4:12">
      <c r="D269" s="448" t="s">
        <v>524</v>
      </c>
      <c r="E269" s="479" t="s">
        <v>338</v>
      </c>
      <c r="F269" s="743" t="s">
        <v>334</v>
      </c>
      <c r="G269" s="743"/>
      <c r="H269" s="743"/>
      <c r="I269" s="743"/>
      <c r="J269" s="743"/>
      <c r="K269" s="463">
        <f>+'COMBUSTIBLES '!B7</f>
        <v>4710.3100000000004</v>
      </c>
      <c r="L269" s="486" t="s">
        <v>570</v>
      </c>
    </row>
    <row r="270" spans="4:12">
      <c r="D270" s="448" t="s">
        <v>525</v>
      </c>
      <c r="E270" s="479"/>
      <c r="F270" s="744" t="s">
        <v>362</v>
      </c>
      <c r="G270" s="744"/>
      <c r="H270" s="744"/>
      <c r="I270" s="744"/>
      <c r="J270" s="744"/>
      <c r="K270" s="489">
        <f>+Variables!E20</f>
        <v>5078.7700000000004</v>
      </c>
      <c r="L270" s="486" t="s">
        <v>570</v>
      </c>
    </row>
    <row r="271" spans="4:12">
      <c r="E271" s="460"/>
    </row>
    <row r="272" spans="4:12">
      <c r="E272" s="460"/>
    </row>
    <row r="273" spans="2:5">
      <c r="E273" s="460"/>
    </row>
    <row r="274" spans="2:5" ht="36.65">
      <c r="B274" s="434">
        <v>9</v>
      </c>
      <c r="D274" s="439" t="s">
        <v>526</v>
      </c>
      <c r="E274" s="460"/>
    </row>
    <row r="275" spans="2:5">
      <c r="E275" s="460"/>
    </row>
    <row r="276" spans="2:5" ht="20.3">
      <c r="D276" s="437" t="s">
        <v>527</v>
      </c>
    </row>
    <row r="277" spans="2:5">
      <c r="D277" s="444" t="s">
        <v>528</v>
      </c>
    </row>
    <row r="278" spans="2:5">
      <c r="D278" s="444" t="s">
        <v>347</v>
      </c>
    </row>
    <row r="279" spans="2:5">
      <c r="D279" s="435" t="s">
        <v>348</v>
      </c>
    </row>
    <row r="280" spans="2:5">
      <c r="D280" s="435" t="s">
        <v>349</v>
      </c>
    </row>
    <row r="281" spans="2:5">
      <c r="D281" s="435" t="s">
        <v>485</v>
      </c>
    </row>
    <row r="282" spans="2:5" ht="20.3">
      <c r="D282" s="462" t="s">
        <v>537</v>
      </c>
    </row>
    <row r="284" spans="2:5">
      <c r="D284" s="443"/>
    </row>
    <row r="289" spans="2:6" ht="24.25">
      <c r="B289" s="435" t="s">
        <v>561</v>
      </c>
      <c r="D289" s="453" t="s">
        <v>529</v>
      </c>
      <c r="E289" s="482" t="s">
        <v>566</v>
      </c>
      <c r="F289" s="464" t="s">
        <v>555</v>
      </c>
    </row>
    <row r="291" spans="2:6">
      <c r="B291" s="435" t="s">
        <v>538</v>
      </c>
      <c r="C291" s="435">
        <v>1</v>
      </c>
      <c r="D291" s="466" t="str">
        <f>CONCATENATE("PRECIO REGULADOS"," ",$E$289)</f>
        <v>PRECIO REGULADOS FEB 1 A FEB 28  2019</v>
      </c>
      <c r="E291" s="460"/>
    </row>
    <row r="292" spans="2:6">
      <c r="D292" s="465" t="s">
        <v>540</v>
      </c>
      <c r="E292" s="460"/>
    </row>
    <row r="293" spans="2:6">
      <c r="D293" s="465"/>
      <c r="E293" s="460"/>
    </row>
    <row r="294" spans="2:6">
      <c r="B294" s="435" t="s">
        <v>539</v>
      </c>
      <c r="C294" s="435">
        <v>2</v>
      </c>
      <c r="D294" s="471" t="str">
        <f>CONCATENATE("PRECIO NO REGULADOS"," ",$E$289)</f>
        <v>PRECIO NO REGULADOS FEB 1 A FEB 28  2019</v>
      </c>
      <c r="E294" s="484" t="s">
        <v>158</v>
      </c>
    </row>
    <row r="295" spans="2:6">
      <c r="D295" s="465" t="s">
        <v>541</v>
      </c>
      <c r="E295" s="460"/>
    </row>
    <row r="296" spans="2:6">
      <c r="D296" s="465"/>
      <c r="E296" s="460"/>
    </row>
    <row r="297" spans="2:6">
      <c r="B297" s="481" t="s">
        <v>562</v>
      </c>
      <c r="C297" s="435">
        <v>3</v>
      </c>
      <c r="D297" s="466" t="str">
        <f>CONCATENATE("PRECIO ZONAS DE FRONTERA "," ",$E$289)</f>
        <v>PRECIO ZONAS DE FRONTERA  FEB 1 A FEB 28  2019</v>
      </c>
      <c r="E297" s="460"/>
    </row>
    <row r="298" spans="2:6">
      <c r="D298" s="465" t="s">
        <v>540</v>
      </c>
      <c r="E298" s="460"/>
    </row>
    <row r="299" spans="2:6">
      <c r="D299" s="465"/>
      <c r="E299" s="460"/>
    </row>
    <row r="300" spans="2:6">
      <c r="B300" s="435" t="s">
        <v>542</v>
      </c>
      <c r="C300" s="435">
        <v>4</v>
      </c>
      <c r="D300" s="466" t="str">
        <f>CONCATENATE("PRECIO ELECTROCOMBUSTIBLE  ",," ",$E$289)</f>
        <v>PRECIO ELECTROCOMBUSTIBLE   FEB 1 A FEB 28  2019</v>
      </c>
      <c r="E300" s="460"/>
    </row>
    <row r="301" spans="2:6">
      <c r="D301" s="465" t="s">
        <v>540</v>
      </c>
      <c r="E301" s="460"/>
    </row>
    <row r="302" spans="2:6">
      <c r="D302" s="465"/>
      <c r="E302" s="460"/>
    </row>
    <row r="303" spans="2:6">
      <c r="B303" s="435" t="s">
        <v>543</v>
      </c>
      <c r="C303" s="435">
        <v>5</v>
      </c>
      <c r="D303" s="466" t="str">
        <f>CONCATENATE("PRECIO DESCUENTO PESQUEROS "," ",$E$289)</f>
        <v>PRECIO DESCUENTO PESQUEROS  FEB 1 A FEB 28  2019</v>
      </c>
      <c r="E303" s="460"/>
    </row>
    <row r="304" spans="2:6">
      <c r="D304" s="465" t="s">
        <v>540</v>
      </c>
      <c r="E304" s="460"/>
    </row>
    <row r="305" spans="2:5">
      <c r="D305" s="465"/>
      <c r="E305" s="460"/>
    </row>
    <row r="306" spans="2:5">
      <c r="B306" s="182" t="s">
        <v>563</v>
      </c>
      <c r="C306" s="435">
        <v>6</v>
      </c>
      <c r="D306" s="466" t="str">
        <f>CONCATENATE("PRECIO ESPECIAL GUAJIRA "," ",$E$289)</f>
        <v>PRECIO ESPECIAL GUAJIRA  FEB 1 A FEB 28  2019</v>
      </c>
      <c r="E306" s="460"/>
    </row>
    <row r="307" spans="2:5">
      <c r="D307" s="465" t="s">
        <v>540</v>
      </c>
      <c r="E307" s="460"/>
    </row>
    <row r="308" spans="2:5">
      <c r="D308" s="465"/>
      <c r="E308" s="460"/>
    </row>
    <row r="309" spans="2:5">
      <c r="B309" s="435" t="s">
        <v>544</v>
      </c>
      <c r="C309" s="435">
        <v>7</v>
      </c>
      <c r="D309" s="471" t="str">
        <f>CONCATENATE("PRECIO ESTRUCTURA TARIFA BIOS "," ",$E$289)</f>
        <v>PRECIO ESTRUCTURA TARIFA BIOS  FEB 1 A FEB 28  2019</v>
      </c>
      <c r="E309" s="460" t="s">
        <v>560</v>
      </c>
    </row>
    <row r="310" spans="2:5">
      <c r="D310" s="465" t="s">
        <v>540</v>
      </c>
      <c r="E310" s="460"/>
    </row>
    <row r="311" spans="2:5">
      <c r="D311" s="465"/>
      <c r="E311" s="460"/>
    </row>
    <row r="312" spans="2:5">
      <c r="B312" s="435" t="s">
        <v>545</v>
      </c>
      <c r="C312" s="435">
        <v>8</v>
      </c>
      <c r="D312" s="466" t="str">
        <f>CONCATENATE("PRECIO GASOLINA  IMPORTADA "," ",$E$289)</f>
        <v>PRECIO GASOLINA  IMPORTADA  FEB 1 A FEB 28  2019</v>
      </c>
      <c r="E312" s="460"/>
    </row>
    <row r="313" spans="2:5">
      <c r="D313" s="465" t="s">
        <v>540</v>
      </c>
      <c r="E313" s="460"/>
    </row>
    <row r="314" spans="2:5">
      <c r="D314" s="465"/>
      <c r="E314" s="460"/>
    </row>
    <row r="315" spans="2:5">
      <c r="B315" s="481" t="s">
        <v>564</v>
      </c>
      <c r="C315" s="435">
        <v>9</v>
      </c>
      <c r="D315" s="471" t="str">
        <f>CONCATENATE("BALANCE VOLUMETRICO REFICAR A ",," ",$E$289)</f>
        <v>BALANCE VOLUMETRICO REFICAR A  FEB 1 A FEB 28  2019</v>
      </c>
      <c r="E315" s="460" t="s">
        <v>560</v>
      </c>
    </row>
    <row r="316" spans="2:5">
      <c r="D316" s="465" t="s">
        <v>540</v>
      </c>
    </row>
  </sheetData>
  <autoFilter ref="D14:L87" xr:uid="{00000000-0009-0000-0000-000000000000}">
    <filterColumn colId="0">
      <filters>
        <filter val="PRE-GRE-REAL-BIODIESEL B2 EXTRA NACIONAL ZPRB - LIS_GRE_REGULADOS MME 2016"/>
        <filter val="PRE-GRE-REAL-BIODIESEL B2 EXTRA NACIONAL ZPRB-ZO_COSTA ATLÁNTICA - LIS_GRE_REGULADOS MME 2016"/>
        <filter val="PRE-GRE-REAL-BIODIESEL B2 EXTRA SAN ANDRES ZPRB - LIS_GRE_REGULADOS MME 2016"/>
        <filter val="PRE-GRE-REAL-BIODIESEL B2T EXTRA NACIONAL 1ZPRB - LIS_GRE_REGULADOS MME 2016"/>
        <filter val="PRE-GRE-REAL-BIODIESEL B4 VTA NACIONAL ZPRB - LIS_GRE_REGULADOS MME 2016"/>
        <filter val="PRE-GRE-REAL-DIESEL MARINO EXTRA B2B BUENAVENTURA - CABOJE - Z00005 ZPRB - LIS_GRE_REGULADOS MME 2016"/>
        <filter val="PRE-GRE-REAL-DIESEL MARINO EXTRA B2E VTA NACIONAL ZPRB - LIS_GRE_REGULADOS MME 2016"/>
        <filter val="REAL-BIODIESEL B2B EXTRA NACIONAL 1ZPRB - LIS_GRE_REGULADOS MME 2016"/>
      </filters>
    </filterColumn>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70" zoomScaleNormal="70" workbookViewId="0">
      <selection activeCell="O6" sqref="O6"/>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5" s="57" customFormat="1" ht="20.149999999999999" customHeight="1">
      <c r="B1" s="821" t="s">
        <v>13</v>
      </c>
      <c r="C1" s="821"/>
      <c r="D1" s="821"/>
      <c r="E1" s="821"/>
      <c r="F1" s="821"/>
      <c r="H1" s="857" t="s">
        <v>622</v>
      </c>
      <c r="I1" s="857"/>
      <c r="J1" s="857"/>
      <c r="K1" s="857"/>
      <c r="L1" s="857"/>
      <c r="M1" s="574"/>
    </row>
    <row r="2" spans="2:15" s="57" customFormat="1" ht="20.149999999999999" customHeight="1">
      <c r="B2" s="821" t="s">
        <v>700</v>
      </c>
      <c r="C2" s="821"/>
      <c r="D2" s="821"/>
      <c r="E2" s="821"/>
      <c r="F2" s="821"/>
      <c r="H2" s="857"/>
      <c r="I2" s="857"/>
      <c r="J2" s="857"/>
      <c r="K2" s="857"/>
      <c r="L2" s="857"/>
      <c r="M2" s="574"/>
    </row>
    <row r="3" spans="2:15" s="57" customFormat="1" ht="20.3">
      <c r="B3" s="821" t="s">
        <v>14</v>
      </c>
      <c r="C3" s="821"/>
      <c r="D3" s="821"/>
      <c r="E3" s="821"/>
      <c r="F3" s="821"/>
      <c r="H3" s="574"/>
      <c r="I3" s="574"/>
      <c r="J3" s="574"/>
      <c r="K3" s="574"/>
      <c r="L3" s="574"/>
      <c r="M3" s="574"/>
    </row>
    <row r="4" spans="2:15">
      <c r="B4" s="25"/>
      <c r="C4" s="25"/>
      <c r="D4" s="25"/>
      <c r="E4" s="25"/>
      <c r="H4" s="661">
        <v>0</v>
      </c>
      <c r="I4" s="575" t="s">
        <v>620</v>
      </c>
      <c r="J4" s="575"/>
      <c r="K4" s="575"/>
      <c r="L4" s="575"/>
    </row>
    <row r="5" spans="2:15" ht="15.05" thickBot="1">
      <c r="B5" s="47"/>
      <c r="H5" s="661">
        <v>0</v>
      </c>
      <c r="I5" s="575" t="s">
        <v>621</v>
      </c>
      <c r="J5" s="575"/>
      <c r="K5" s="575"/>
      <c r="L5" s="575"/>
    </row>
    <row r="6" spans="2:15" ht="45.2" customHeight="1" thickTop="1">
      <c r="B6" s="96" t="s">
        <v>15</v>
      </c>
      <c r="C6" s="97" t="s">
        <v>16</v>
      </c>
      <c r="D6" s="97" t="s">
        <v>17</v>
      </c>
      <c r="E6" s="97" t="s">
        <v>18</v>
      </c>
      <c r="F6" s="98" t="s">
        <v>331</v>
      </c>
      <c r="O6" s="716"/>
    </row>
    <row r="7" spans="2:15" ht="30.15" customHeight="1" thickBot="1">
      <c r="B7" s="116"/>
      <c r="C7" s="72" t="str">
        <f>+'COMBUSTIBLES '!B6</f>
        <v>01 DE JULIO 2021</v>
      </c>
      <c r="D7" s="72" t="str">
        <f>+C7</f>
        <v>01 DE JULIO 2021</v>
      </c>
      <c r="E7" s="72" t="str">
        <f>+D7</f>
        <v>01 DE JULIO 2021</v>
      </c>
      <c r="F7" s="73" t="str">
        <f>+E7</f>
        <v>01 DE JULIO 2021</v>
      </c>
    </row>
    <row r="8" spans="2:15" ht="27.2" customHeight="1" thickTop="1">
      <c r="B8" s="113" t="s">
        <v>19</v>
      </c>
      <c r="C8" s="114">
        <f>'COMBUSTIBLES '!B7-H4</f>
        <v>4710.3100000000004</v>
      </c>
      <c r="D8" s="114">
        <f>'COMBUSTIBLES '!D7</f>
        <v>7750</v>
      </c>
      <c r="E8" s="114">
        <f>'COMBUSTIBLES '!E7-H5</f>
        <v>4115.9399999999996</v>
      </c>
      <c r="F8" s="115">
        <f>+(E8*98%)+BIODIESEL!E9</f>
        <v>4385.2711999999992</v>
      </c>
    </row>
    <row r="9" spans="2:15" ht="27.2" customHeight="1">
      <c r="B9" s="358" t="s">
        <v>232</v>
      </c>
      <c r="C9" s="100" t="s">
        <v>59</v>
      </c>
      <c r="D9" s="100" t="str">
        <f>+C9</f>
        <v>(*****)</v>
      </c>
      <c r="E9" s="100" t="str">
        <f>+C9</f>
        <v>(*****)</v>
      </c>
      <c r="F9" s="101" t="str">
        <f>+D9</f>
        <v>(*****)</v>
      </c>
      <c r="I9" s="301"/>
      <c r="J9" s="301"/>
    </row>
    <row r="10" spans="2:15" ht="27.2" customHeight="1">
      <c r="B10" s="99" t="s">
        <v>272</v>
      </c>
      <c r="C10" s="100">
        <f>+'COMBUSTIBLES '!B8</f>
        <v>8.3842000000000017</v>
      </c>
      <c r="D10" s="100">
        <f>+C10</f>
        <v>8.3842000000000017</v>
      </c>
      <c r="E10" s="100">
        <f>+'COMBUSTIBLES '!E8</f>
        <v>8.3842000000000017</v>
      </c>
      <c r="F10" s="101">
        <f>+BIODIESEL!F14</f>
        <v>8.3842000000000017</v>
      </c>
    </row>
    <row r="11" spans="2:15" ht="27.2" hidden="1" customHeight="1">
      <c r="B11" s="102" t="s">
        <v>233</v>
      </c>
      <c r="C11" s="100">
        <f>'COMBUSTIBLES '!B10</f>
        <v>0</v>
      </c>
      <c r="D11" s="100">
        <f>'COMBUSTIBLES '!B10</f>
        <v>0</v>
      </c>
      <c r="E11" s="100">
        <f>'COMBUSTIBLES '!E10</f>
        <v>0</v>
      </c>
      <c r="F11" s="101">
        <f>+E11</f>
        <v>0</v>
      </c>
      <c r="H11" s="359">
        <f>+E8*0.98</f>
        <v>4033.6211999999996</v>
      </c>
    </row>
    <row r="12" spans="2:15" ht="27.2" customHeight="1">
      <c r="B12" s="99" t="s">
        <v>319</v>
      </c>
      <c r="C12" s="100">
        <f>Variables!C24</f>
        <v>1093.3800000000001</v>
      </c>
      <c r="D12" s="100">
        <f>Variables!C25</f>
        <v>1156.9000000000001</v>
      </c>
      <c r="E12" s="100">
        <f>Variables!C34</f>
        <v>724.42</v>
      </c>
      <c r="F12" s="101">
        <f>E12*98%</f>
        <v>709.9316</v>
      </c>
      <c r="H12" s="563">
        <f>+BIODIESEL!E9</f>
        <v>351.65</v>
      </c>
    </row>
    <row r="13" spans="2:15" s="301" customFormat="1" ht="27.2" customHeight="1">
      <c r="B13" s="99" t="s">
        <v>262</v>
      </c>
      <c r="C13" s="103"/>
      <c r="D13" s="103"/>
      <c r="E13" s="103"/>
      <c r="F13" s="104"/>
      <c r="H13" s="563">
        <f>+H11+H12</f>
        <v>4385.2711999999992</v>
      </c>
    </row>
    <row r="14" spans="2:15" s="301" customFormat="1" ht="27.2" customHeight="1">
      <c r="B14" s="99" t="s">
        <v>305</v>
      </c>
      <c r="C14" s="103">
        <f>'COMBUSTIBLES '!B13</f>
        <v>159</v>
      </c>
      <c r="D14" s="103">
        <f>'COMBUSTIBLES '!C13</f>
        <v>159</v>
      </c>
      <c r="E14" s="103">
        <f>'COMBUSTIBLES '!E13</f>
        <v>179</v>
      </c>
      <c r="F14" s="104">
        <f>+BIODIESEL!E13</f>
        <v>175.42</v>
      </c>
    </row>
    <row r="15" spans="2:15" ht="44.35" customHeight="1">
      <c r="B15" s="105" t="s">
        <v>23</v>
      </c>
      <c r="C15" s="106">
        <f>SUM(C8:C14)</f>
        <v>5971.0742000000009</v>
      </c>
      <c r="D15" s="106">
        <f>SUM(D8:D14)</f>
        <v>9074.2842000000001</v>
      </c>
      <c r="E15" s="106">
        <f>SUM(E8:E14)</f>
        <v>5027.7442000000001</v>
      </c>
      <c r="F15" s="107">
        <f>SUM(F8:F14)</f>
        <v>5279.0069999999996</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15" customHeight="1" thickBot="1">
      <c r="B18" s="110" t="s">
        <v>207</v>
      </c>
      <c r="C18" s="111" t="s">
        <v>219</v>
      </c>
      <c r="D18" s="111" t="str">
        <f>+C18</f>
        <v>(****)</v>
      </c>
      <c r="E18" s="111" t="str">
        <f>+D18</f>
        <v>(****)</v>
      </c>
      <c r="F18" s="112" t="str">
        <f>+E18</f>
        <v>(****)</v>
      </c>
    </row>
    <row r="19" spans="2:18" ht="15.05" thickTop="1"/>
    <row r="20" spans="2:18" s="95" customFormat="1" ht="40.6" customHeight="1">
      <c r="B20" s="858" t="s">
        <v>231</v>
      </c>
      <c r="C20" s="858"/>
      <c r="D20" s="858"/>
      <c r="E20" s="858"/>
    </row>
    <row r="21" spans="2:18" s="95" customFormat="1" ht="30.8" customHeight="1">
      <c r="B21" s="859" t="s">
        <v>271</v>
      </c>
      <c r="C21" s="859"/>
      <c r="D21" s="859"/>
      <c r="E21" s="859"/>
    </row>
    <row r="22" spans="2:18" s="95" customFormat="1" ht="5.4" customHeight="1">
      <c r="B22" s="322"/>
      <c r="C22" s="322"/>
      <c r="D22" s="322"/>
      <c r="E22" s="322"/>
    </row>
    <row r="23" spans="2:18" s="95" customFormat="1" ht="17.350000000000001" customHeight="1">
      <c r="B23" s="858" t="s">
        <v>234</v>
      </c>
      <c r="C23" s="858"/>
      <c r="D23" s="858"/>
      <c r="E23" s="858"/>
    </row>
    <row r="24" spans="2:18" s="95" customFormat="1" ht="3.8" customHeight="1">
      <c r="B24" s="302"/>
      <c r="C24" s="302"/>
      <c r="D24" s="302"/>
      <c r="E24" s="302"/>
    </row>
    <row r="25" spans="2:18" s="95" customFormat="1" ht="17.350000000000001" customHeight="1">
      <c r="B25" s="858" t="s">
        <v>252</v>
      </c>
      <c r="C25" s="858"/>
      <c r="D25" s="858"/>
      <c r="E25" s="858"/>
    </row>
    <row r="26" spans="2:18" s="95" customFormat="1" ht="8.35" customHeight="1">
      <c r="B26" s="302"/>
      <c r="C26" s="302"/>
      <c r="D26" s="302"/>
      <c r="E26" s="302"/>
    </row>
    <row r="27" spans="2:18" s="95" customFormat="1" ht="25.55" customHeight="1">
      <c r="B27" s="858" t="s">
        <v>235</v>
      </c>
      <c r="C27" s="858"/>
      <c r="D27" s="858"/>
      <c r="E27" s="858"/>
    </row>
    <row r="28" spans="2:18" ht="7.55" customHeight="1">
      <c r="B28" s="304"/>
      <c r="C28" s="304"/>
      <c r="D28" s="304"/>
      <c r="E28" s="304"/>
    </row>
    <row r="29" spans="2:18" s="301" customFormat="1" ht="45.65" customHeight="1">
      <c r="B29" s="854" t="s">
        <v>286</v>
      </c>
      <c r="C29" s="854"/>
      <c r="D29" s="854"/>
      <c r="E29" s="854"/>
    </row>
    <row r="30" spans="2:18" s="301" customFormat="1" ht="8.35" customHeight="1">
      <c r="B30" s="304"/>
      <c r="C30" s="304"/>
      <c r="D30" s="304"/>
      <c r="E30" s="304"/>
    </row>
    <row r="31" spans="2:18" ht="39.799999999999997" hidden="1" customHeight="1">
      <c r="B31" s="854" t="s">
        <v>274</v>
      </c>
      <c r="C31" s="854"/>
      <c r="D31" s="854"/>
      <c r="E31" s="854"/>
      <c r="F31" s="854"/>
      <c r="G31" s="854"/>
    </row>
    <row r="32" spans="2:18" ht="9.65" customHeight="1"/>
    <row r="33" spans="2:6">
      <c r="B33" s="859" t="s">
        <v>273</v>
      </c>
      <c r="C33" s="859"/>
      <c r="D33" s="859"/>
      <c r="E33" s="859"/>
    </row>
    <row r="35" spans="2:6">
      <c r="B35" s="859" t="s">
        <v>320</v>
      </c>
      <c r="C35" s="859"/>
      <c r="D35" s="859"/>
      <c r="E35" s="859"/>
    </row>
    <row r="36" spans="2:6" s="301" customFormat="1">
      <c r="B36" s="429"/>
      <c r="C36" s="429"/>
      <c r="D36" s="429"/>
      <c r="E36" s="429"/>
    </row>
    <row r="37" spans="2:6" ht="86.25" customHeight="1">
      <c r="B37" s="808" t="s">
        <v>282</v>
      </c>
      <c r="C37" s="808"/>
      <c r="D37" s="808"/>
      <c r="E37" s="808"/>
      <c r="F37" s="808"/>
    </row>
    <row r="42" spans="2:6">
      <c r="B42" s="854"/>
      <c r="C42" s="854"/>
      <c r="D42" s="854"/>
      <c r="E42" s="854"/>
    </row>
  </sheetData>
  <sheetProtection algorithmName="SHA-512" hashValue="e+GuVx0n/xovgHnvTSISIBk+GjYPbMeA+4EaY4n/ec6vdCq0WSehkAw6tNogLpyvBiVgUl61UKbct+19H8YYHA==" saltValue="Ysq5b51SbJu43ZYsflEPDQ=="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7"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55" zoomScaleNormal="55" workbookViewId="0">
      <selection activeCell="V47" sqref="V47"/>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65" t="s">
        <v>206</v>
      </c>
      <c r="D1" s="865"/>
      <c r="E1" s="865"/>
      <c r="F1" s="865"/>
      <c r="G1" s="865"/>
      <c r="H1" s="865"/>
    </row>
    <row r="2" spans="3:12" ht="15.05">
      <c r="C2" s="865" t="s">
        <v>33</v>
      </c>
      <c r="D2" s="865"/>
      <c r="E2" s="865"/>
      <c r="F2" s="865"/>
      <c r="G2" s="865"/>
      <c r="H2" s="865"/>
    </row>
    <row r="3" spans="3:12" ht="15.05">
      <c r="C3" s="865" t="s">
        <v>14</v>
      </c>
      <c r="D3" s="865"/>
      <c r="E3" s="865"/>
      <c r="F3" s="865"/>
      <c r="G3" s="865"/>
      <c r="H3" s="865"/>
      <c r="J3" s="4"/>
    </row>
    <row r="4" spans="3:12" ht="24.75" customHeight="1" thickBot="1">
      <c r="C4" s="300" t="str">
        <f>+'COMBUSTIBLES '!A1</f>
        <v>01 DE JULIO 2021</v>
      </c>
      <c r="D4" s="29"/>
      <c r="E4" s="30"/>
      <c r="F4" s="867"/>
      <c r="G4" s="867"/>
      <c r="H4" s="409"/>
      <c r="I4" s="409"/>
      <c r="J4" s="689"/>
    </row>
    <row r="5" spans="3:12" ht="45.2" customHeight="1" thickTop="1">
      <c r="C5" s="118" t="s">
        <v>15</v>
      </c>
      <c r="D5" s="329" t="s">
        <v>714</v>
      </c>
      <c r="E5" s="329" t="s">
        <v>257</v>
      </c>
      <c r="F5" s="329" t="s">
        <v>283</v>
      </c>
      <c r="I5" s="329" t="s">
        <v>258</v>
      </c>
      <c r="J5" s="330" t="s">
        <v>603</v>
      </c>
    </row>
    <row r="6" spans="3:12" ht="22.6" customHeight="1">
      <c r="C6" s="331" t="s">
        <v>19</v>
      </c>
      <c r="D6" s="324">
        <f>'COMBUSTIBLES '!E7</f>
        <v>4115.9399999999996</v>
      </c>
      <c r="E6" s="324">
        <f>+D6</f>
        <v>4115.9399999999996</v>
      </c>
      <c r="F6" s="324">
        <f>+E6*80%</f>
        <v>3292.752</v>
      </c>
      <c r="I6" s="324">
        <f>+BIODIESEL!B7*4%+(F6)*96%</f>
        <v>3864.3491199999999</v>
      </c>
      <c r="J6" s="333">
        <f>+BIODIESEL!B7*2%+(F6)*98%</f>
        <v>3578.5505600000001</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236</v>
      </c>
      <c r="D10" s="326" t="str">
        <f>+I10</f>
        <v>(*)</v>
      </c>
      <c r="E10" s="326" t="str">
        <f>+D10</f>
        <v>(*)</v>
      </c>
      <c r="F10" s="326" t="str">
        <f>+E10</f>
        <v>(*)</v>
      </c>
      <c r="I10" s="326" t="s">
        <v>11</v>
      </c>
      <c r="J10" s="398" t="str">
        <f>+I10</f>
        <v>(*)</v>
      </c>
    </row>
    <row r="11" spans="3:12" ht="22.6" hidden="1" customHeight="1">
      <c r="C11" s="102" t="s">
        <v>233</v>
      </c>
      <c r="D11" s="327">
        <f>'COMBUSTIBLES '!E10</f>
        <v>0</v>
      </c>
      <c r="E11" s="327">
        <f>+D11</f>
        <v>0</v>
      </c>
      <c r="F11" s="327">
        <f>+E11</f>
        <v>0</v>
      </c>
      <c r="I11" s="327">
        <f>+F11</f>
        <v>0</v>
      </c>
      <c r="J11" s="119">
        <f>+I11</f>
        <v>0</v>
      </c>
    </row>
    <row r="12" spans="3:12" ht="26.35" customHeight="1">
      <c r="C12" s="335" t="s">
        <v>211</v>
      </c>
      <c r="D12" s="328">
        <f>SUM(D6:D11)</f>
        <v>4826.2099999999991</v>
      </c>
      <c r="E12" s="328">
        <f>SUM(E6:E11)</f>
        <v>4972.0499999999993</v>
      </c>
      <c r="F12" s="328">
        <f>SUM(F6:F11)</f>
        <v>4148.8620000000001</v>
      </c>
      <c r="I12" s="328">
        <f>SUM(I6:I11)</f>
        <v>4686.2191199999997</v>
      </c>
      <c r="J12" s="336">
        <f>SUM(J6:J11)</f>
        <v>4417.5405600000004</v>
      </c>
    </row>
    <row r="13" spans="3:12" ht="22.6" customHeight="1" thickBot="1">
      <c r="C13" s="337" t="s">
        <v>8</v>
      </c>
      <c r="D13" s="722">
        <f>'COMBUSTIBLES '!E16</f>
        <v>301</v>
      </c>
      <c r="E13" s="338"/>
      <c r="F13" s="338"/>
      <c r="I13" s="338"/>
      <c r="J13" s="339"/>
    </row>
    <row r="14" spans="3:12" ht="12.15" customHeight="1" thickTop="1">
      <c r="C14" s="323"/>
      <c r="D14" s="27"/>
      <c r="E14" s="27"/>
      <c r="F14" s="410"/>
      <c r="G14" s="410"/>
      <c r="H14" s="410"/>
      <c r="I14" s="409"/>
    </row>
    <row r="15" spans="3:12" ht="18.649999999999999" customHeight="1">
      <c r="C15" s="868" t="s">
        <v>253</v>
      </c>
      <c r="D15" s="868"/>
      <c r="E15" s="868"/>
      <c r="F15" s="868"/>
      <c r="G15" s="868"/>
      <c r="H15" s="868"/>
    </row>
    <row r="16" spans="3:12" ht="49.6" customHeight="1">
      <c r="C16" s="866" t="s">
        <v>255</v>
      </c>
      <c r="D16" s="866"/>
      <c r="E16" s="866"/>
      <c r="F16" s="866"/>
      <c r="G16" s="866"/>
      <c r="H16" s="866"/>
    </row>
    <row r="17" spans="3:11" ht="34.549999999999997" customHeight="1">
      <c r="C17" s="823" t="s">
        <v>274</v>
      </c>
      <c r="D17" s="823"/>
      <c r="E17" s="823"/>
      <c r="F17" s="823"/>
      <c r="G17" s="823"/>
      <c r="H17" s="823"/>
    </row>
    <row r="18" spans="3:11">
      <c r="C18" s="823" t="s">
        <v>284</v>
      </c>
      <c r="D18" s="823"/>
      <c r="E18" s="823"/>
      <c r="F18" s="823"/>
      <c r="G18" s="823"/>
      <c r="H18" s="823"/>
    </row>
    <row r="19" spans="3:11" ht="28.5" customHeight="1">
      <c r="C19" s="340"/>
      <c r="D19" s="340"/>
      <c r="E19" s="340"/>
      <c r="F19" s="340"/>
      <c r="G19" s="340"/>
      <c r="H19" s="340"/>
    </row>
    <row r="20" spans="3:11">
      <c r="C20" s="842" t="s">
        <v>325</v>
      </c>
      <c r="D20" s="842"/>
      <c r="E20" s="842"/>
      <c r="F20" s="842"/>
      <c r="G20" s="842"/>
      <c r="H20" s="842"/>
      <c r="I20" s="842"/>
      <c r="J20" s="2" t="s">
        <v>158</v>
      </c>
    </row>
    <row r="21" spans="3:11">
      <c r="C21" s="842" t="s">
        <v>323</v>
      </c>
      <c r="D21" s="842"/>
      <c r="E21" s="842"/>
      <c r="F21" s="842"/>
      <c r="G21" s="842"/>
      <c r="H21" s="842"/>
      <c r="I21" s="842"/>
    </row>
    <row r="22" spans="3:11">
      <c r="C22" s="842" t="s">
        <v>324</v>
      </c>
      <c r="D22" s="842"/>
      <c r="E22" s="842"/>
      <c r="F22" s="842"/>
      <c r="G22" s="842"/>
      <c r="H22" s="842"/>
      <c r="I22" s="842"/>
    </row>
    <row r="23" spans="3:11">
      <c r="C23" s="690"/>
      <c r="D23" s="690"/>
      <c r="E23" s="690"/>
      <c r="F23" s="690"/>
      <c r="G23" s="690"/>
      <c r="H23" s="690"/>
      <c r="I23" s="690"/>
    </row>
    <row r="24" spans="3:11">
      <c r="C24" s="690"/>
      <c r="D24" s="690"/>
      <c r="E24" s="690"/>
      <c r="F24" s="690"/>
      <c r="G24" s="690"/>
      <c r="H24" s="690"/>
      <c r="I24" s="690"/>
    </row>
    <row r="25" spans="3:11" ht="15.05">
      <c r="C25" s="865" t="s">
        <v>45</v>
      </c>
      <c r="D25" s="865"/>
      <c r="E25" s="865"/>
      <c r="F25" s="865"/>
      <c r="G25" s="865"/>
      <c r="H25" s="865"/>
      <c r="J25" s="2" t="s">
        <v>158</v>
      </c>
    </row>
    <row r="26" spans="3:11" ht="15.05">
      <c r="C26" s="865" t="s">
        <v>37</v>
      </c>
      <c r="D26" s="865"/>
      <c r="E26" s="865"/>
      <c r="F26" s="865"/>
      <c r="G26" s="865"/>
      <c r="H26" s="865"/>
    </row>
    <row r="27" spans="3:11" ht="15.05">
      <c r="C27" s="865" t="s">
        <v>14</v>
      </c>
      <c r="D27" s="865"/>
      <c r="E27" s="865"/>
      <c r="F27" s="865"/>
      <c r="G27" s="865"/>
      <c r="H27" s="865"/>
    </row>
    <row r="28" spans="3:11" ht="15.05" thickBot="1">
      <c r="C28" s="300" t="str">
        <f>+C4</f>
        <v>01 DE JULIO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711</v>
      </c>
    </row>
    <row r="30" spans="3:11" ht="23.4" customHeight="1">
      <c r="C30" s="331" t="s">
        <v>19</v>
      </c>
      <c r="D30" s="327">
        <f>'COMBUSTIBLES '!E7</f>
        <v>4115.9399999999996</v>
      </c>
      <c r="E30" s="324">
        <f>+D30</f>
        <v>4115.9399999999996</v>
      </c>
      <c r="F30" s="325">
        <f>+D30*80%</f>
        <v>3292.752</v>
      </c>
      <c r="G30" s="550">
        <v>1903.2</v>
      </c>
      <c r="H30" s="332">
        <v>1280.03</v>
      </c>
      <c r="J30" s="332">
        <f>+(F30*98%)+(BIODIESEL!B7*2%)</f>
        <v>3578.5505600000001</v>
      </c>
      <c r="K30" s="33" t="s">
        <v>158</v>
      </c>
    </row>
    <row r="31" spans="3:11" ht="23.4" customHeight="1">
      <c r="C31" s="334" t="str">
        <f>+C7</f>
        <v>Impuesto Nacional a la Gasolina y al ACPM</v>
      </c>
      <c r="D31" s="327">
        <f>+Variables!C33</f>
        <v>677.11</v>
      </c>
      <c r="E31" s="327">
        <f>D31</f>
        <v>677.11</v>
      </c>
      <c r="F31" s="327">
        <f>E31</f>
        <v>677.11</v>
      </c>
      <c r="G31" s="551">
        <f>+D31</f>
        <v>677.11</v>
      </c>
      <c r="H31" s="333">
        <f>+F31</f>
        <v>677.11</v>
      </c>
      <c r="J31" s="119">
        <f>ROUND(F31*98%,2)</f>
        <v>663.57</v>
      </c>
    </row>
    <row r="32" spans="3:11" ht="23.4" customHeight="1">
      <c r="C32" s="334" t="str">
        <f t="shared" ref="C32:F33" si="0">+C8</f>
        <v>Impuesto sobre las Ventas</v>
      </c>
      <c r="D32" s="324"/>
      <c r="E32" s="324"/>
      <c r="F32" s="324"/>
      <c r="G32" s="551"/>
      <c r="H32" s="333"/>
      <c r="J32" s="333"/>
    </row>
    <row r="33" spans="1:10" ht="23.4" customHeight="1">
      <c r="C33" s="334" t="str">
        <f t="shared" si="0"/>
        <v>Impuesto al carbono</v>
      </c>
      <c r="D33" s="324">
        <f t="shared" si="0"/>
        <v>179</v>
      </c>
      <c r="E33" s="324">
        <f t="shared" si="0"/>
        <v>179</v>
      </c>
      <c r="F33" s="324">
        <f t="shared" si="0"/>
        <v>179</v>
      </c>
      <c r="G33" s="551"/>
      <c r="H33" s="333"/>
      <c r="J33" s="119">
        <f>ROUND(F33*98%,2)</f>
        <v>175.42</v>
      </c>
    </row>
    <row r="34" spans="1:10" ht="23.4" customHeight="1">
      <c r="C34" s="331" t="s">
        <v>21</v>
      </c>
      <c r="D34" s="327" t="str">
        <f>+D10</f>
        <v>(*)</v>
      </c>
      <c r="E34" s="327" t="str">
        <f>+D34</f>
        <v>(*)</v>
      </c>
      <c r="F34" s="327" t="str">
        <f>+E34</f>
        <v>(*)</v>
      </c>
      <c r="G34" s="552" t="str">
        <f>+F34</f>
        <v>(*)</v>
      </c>
      <c r="H34" s="119" t="str">
        <f>+G34</f>
        <v>(*)</v>
      </c>
      <c r="J34" s="119">
        <f>+I34</f>
        <v>0</v>
      </c>
    </row>
    <row r="35" spans="1:10" ht="23.4" customHeight="1">
      <c r="C35" s="102" t="s">
        <v>233</v>
      </c>
      <c r="D35" s="324">
        <f>+D11</f>
        <v>0</v>
      </c>
      <c r="E35" s="324">
        <f>+E11</f>
        <v>0</v>
      </c>
      <c r="F35" s="324">
        <f>+F11</f>
        <v>0</v>
      </c>
      <c r="G35" s="553">
        <f>+I11</f>
        <v>0</v>
      </c>
      <c r="H35" s="333">
        <f>+J11</f>
        <v>0</v>
      </c>
      <c r="J35" s="333">
        <f>+J11</f>
        <v>0</v>
      </c>
    </row>
    <row r="36" spans="1:10" ht="23.4" customHeight="1">
      <c r="C36" s="341" t="s">
        <v>38</v>
      </c>
      <c r="D36" s="328">
        <f>SUM(D30:D35)</f>
        <v>4972.0499999999993</v>
      </c>
      <c r="E36" s="328">
        <f>SUM(E30:E35)</f>
        <v>4972.0499999999993</v>
      </c>
      <c r="F36" s="328">
        <f>SUM(F30:F35)</f>
        <v>4148.8620000000001</v>
      </c>
      <c r="G36" s="554">
        <f>SUM(G30:G35)</f>
        <v>2580.31</v>
      </c>
      <c r="H36" s="336">
        <f>SUM(H30:H35)</f>
        <v>1957.1399999999999</v>
      </c>
      <c r="J36" s="336">
        <f>SUM(J30:J35)</f>
        <v>4417.5405600000004</v>
      </c>
    </row>
    <row r="37" spans="1:10" ht="23.4" customHeight="1">
      <c r="C37" s="120" t="s">
        <v>237</v>
      </c>
      <c r="D37" s="100" t="s">
        <v>11</v>
      </c>
      <c r="E37" s="100" t="str">
        <f>+D37</f>
        <v>(*)</v>
      </c>
      <c r="F37" s="100" t="str">
        <f>E37</f>
        <v>(*)</v>
      </c>
      <c r="G37" s="555" t="str">
        <f>+F37</f>
        <v>(*)</v>
      </c>
      <c r="H37" s="101" t="str">
        <f>G37</f>
        <v>(*)</v>
      </c>
      <c r="J37" s="101" t="str">
        <f>+F37</f>
        <v>(*)</v>
      </c>
    </row>
    <row r="38" spans="1:10" ht="23.4" customHeight="1">
      <c r="C38" s="120" t="s">
        <v>239</v>
      </c>
      <c r="D38" s="100" t="s">
        <v>12</v>
      </c>
      <c r="E38" s="100" t="str">
        <f>+D38</f>
        <v>(**)</v>
      </c>
      <c r="F38" s="100" t="str">
        <f>E38</f>
        <v>(**)</v>
      </c>
      <c r="G38" s="555" t="str">
        <f>+F38</f>
        <v>(**)</v>
      </c>
      <c r="H38" s="101" t="str">
        <f>G38</f>
        <v>(**)</v>
      </c>
      <c r="I38" s="33"/>
      <c r="J38" s="101" t="str">
        <f>+F37</f>
        <v>(*)</v>
      </c>
    </row>
    <row r="39" spans="1:10" ht="23.4" customHeight="1">
      <c r="C39" s="335" t="s">
        <v>39</v>
      </c>
      <c r="D39" s="328">
        <f>SUM(D36:D38)</f>
        <v>4972.0499999999993</v>
      </c>
      <c r="E39" s="328">
        <f>SUM(E36:E38)</f>
        <v>4972.0499999999993</v>
      </c>
      <c r="F39" s="328">
        <f>SUM(F36:F38)</f>
        <v>4148.8620000000001</v>
      </c>
      <c r="G39" s="554">
        <f>SUM(G36:G38)</f>
        <v>2580.31</v>
      </c>
      <c r="H39" s="336">
        <f>SUM(H36:H38)</f>
        <v>1957.1399999999999</v>
      </c>
      <c r="J39" s="336">
        <f>SUM(J36:J38)</f>
        <v>4417.5405600000004</v>
      </c>
    </row>
    <row r="40" spans="1:10" ht="23.4" customHeight="1" thickBot="1">
      <c r="C40" s="337" t="s">
        <v>8</v>
      </c>
      <c r="D40" s="723">
        <f>'COMBUSTIBLES '!E16</f>
        <v>301</v>
      </c>
      <c r="E40" s="338"/>
      <c r="F40" s="338"/>
      <c r="G40" s="534"/>
      <c r="H40" s="339"/>
      <c r="J40" s="339"/>
    </row>
    <row r="41" spans="1:10" ht="15.05" thickTop="1">
      <c r="A41" s="2" t="s">
        <v>158</v>
      </c>
      <c r="C41" s="35" t="s">
        <v>158</v>
      </c>
      <c r="D41" s="36"/>
      <c r="E41" s="36"/>
      <c r="F41" s="81"/>
      <c r="G41" s="81"/>
      <c r="H41" s="81"/>
    </row>
    <row r="42" spans="1:10" ht="15.05" customHeight="1">
      <c r="C42" s="858" t="s">
        <v>254</v>
      </c>
      <c r="D42" s="858"/>
      <c r="E42" s="858"/>
      <c r="F42" s="858"/>
      <c r="G42" s="858"/>
      <c r="H42" s="858"/>
      <c r="I42" s="858"/>
      <c r="J42" s="858"/>
    </row>
    <row r="43" spans="1:10" ht="18" customHeight="1">
      <c r="C43" s="858" t="s">
        <v>238</v>
      </c>
      <c r="D43" s="858"/>
      <c r="E43" s="858"/>
      <c r="F43" s="858"/>
      <c r="G43" s="858"/>
      <c r="H43" s="858"/>
      <c r="I43" s="858"/>
      <c r="J43" s="858"/>
    </row>
    <row r="44" spans="1:10" ht="65.3" customHeight="1">
      <c r="C44" s="859" t="s">
        <v>280</v>
      </c>
      <c r="D44" s="859"/>
      <c r="E44" s="859"/>
      <c r="F44" s="859"/>
      <c r="G44" s="859"/>
      <c r="H44" s="859"/>
      <c r="I44" s="859"/>
      <c r="J44" s="859"/>
    </row>
    <row r="45" spans="1:10" ht="28.5" customHeight="1">
      <c r="C45" s="854" t="s">
        <v>689</v>
      </c>
      <c r="D45" s="854"/>
      <c r="E45" s="854"/>
      <c r="F45" s="854"/>
      <c r="G45" s="854"/>
      <c r="H45" s="854"/>
    </row>
    <row r="46" spans="1:10" s="14" customFormat="1" ht="18" customHeight="1">
      <c r="C46" s="37"/>
      <c r="D46" s="38"/>
      <c r="E46" s="38"/>
    </row>
    <row r="47" spans="1:10" ht="15.05">
      <c r="C47" s="691" t="s">
        <v>46</v>
      </c>
      <c r="D47" s="692"/>
      <c r="E47" s="693"/>
      <c r="F47" s="694"/>
    </row>
    <row r="48" spans="1:10" ht="15.05">
      <c r="C48" s="691" t="s">
        <v>40</v>
      </c>
      <c r="D48" s="692"/>
      <c r="E48" s="693"/>
      <c r="F48" s="694"/>
    </row>
    <row r="49" spans="3:9" ht="15.05">
      <c r="C49" s="691" t="s">
        <v>41</v>
      </c>
      <c r="D49" s="692"/>
      <c r="E49" s="693"/>
      <c r="F49" s="694"/>
    </row>
    <row r="50" spans="3:9" ht="15.05">
      <c r="C50" s="691" t="s">
        <v>14</v>
      </c>
      <c r="D50" s="692"/>
      <c r="E50" s="693"/>
      <c r="F50" s="694"/>
    </row>
    <row r="51" spans="3:9" ht="15.05" thickBot="1">
      <c r="C51" s="300" t="str">
        <f>+C28</f>
        <v>01 DE JULIO 2021</v>
      </c>
      <c r="D51" s="29"/>
      <c r="E51" s="30"/>
      <c r="F51"/>
    </row>
    <row r="52" spans="3:9" ht="33.049999999999997" customHeight="1" thickTop="1">
      <c r="C52" s="118" t="s">
        <v>15</v>
      </c>
      <c r="D52" s="329" t="s">
        <v>241</v>
      </c>
      <c r="E52" s="329" t="s">
        <v>713</v>
      </c>
      <c r="F52" s="330" t="s">
        <v>712</v>
      </c>
    </row>
    <row r="53" spans="3:9" ht="26.35" customHeight="1">
      <c r="C53" s="331" t="s">
        <v>242</v>
      </c>
      <c r="D53" s="324">
        <f>+BIODIESEL!E10</f>
        <v>4385.2699999999995</v>
      </c>
      <c r="E53" s="324">
        <f>+D53</f>
        <v>4385.2699999999995</v>
      </c>
      <c r="F53" s="119">
        <f>+BIODIESEL!B7*2%+('COMBUSTIBLES '!E7*77%)*98%</f>
        <v>3457.5419240000001</v>
      </c>
      <c r="G53" s="401"/>
    </row>
    <row r="54" spans="3:9" ht="26.35" customHeight="1">
      <c r="C54" s="331" t="str">
        <f>+C31</f>
        <v>Impuesto Nacional a la Gasolina y al ACPM</v>
      </c>
      <c r="D54" s="684">
        <f>+D7*98%</f>
        <v>520.64459999999997</v>
      </c>
      <c r="E54" s="327">
        <f>+J7</f>
        <v>663.57</v>
      </c>
      <c r="F54" s="119">
        <f>E54</f>
        <v>663.57</v>
      </c>
      <c r="G54" s="33"/>
    </row>
    <row r="55" spans="3:9" ht="26.35" customHeight="1">
      <c r="C55" s="331" t="str">
        <f>+C32</f>
        <v>Impuesto sobre las Ventas</v>
      </c>
      <c r="D55" s="431" t="str">
        <f>+'COMBUSTIBLES '!C12</f>
        <v>(3)</v>
      </c>
      <c r="E55" s="431" t="str">
        <f>+D55</f>
        <v>(3)</v>
      </c>
      <c r="F55" s="433" t="str">
        <f>+E55</f>
        <v>(3)</v>
      </c>
      <c r="G55" s="33"/>
    </row>
    <row r="56" spans="3:9" ht="26.35" customHeight="1">
      <c r="C56" s="331" t="str">
        <f>+C33</f>
        <v>Impuesto al carbono</v>
      </c>
      <c r="D56" s="324">
        <f>+D9*98%</f>
        <v>175.42</v>
      </c>
      <c r="E56" s="324">
        <f>+E33*98%</f>
        <v>175.42</v>
      </c>
      <c r="F56" s="333">
        <f>E56</f>
        <v>175.42</v>
      </c>
      <c r="G56" s="33"/>
    </row>
    <row r="57" spans="3:9" ht="26.35" customHeight="1">
      <c r="C57" s="331" t="s">
        <v>240</v>
      </c>
      <c r="D57" s="562" t="s">
        <v>11</v>
      </c>
      <c r="E57" s="100" t="str">
        <f>+D57</f>
        <v>(*)</v>
      </c>
      <c r="F57" s="101" t="str">
        <f>+E57</f>
        <v>(*)</v>
      </c>
    </row>
    <row r="58" spans="3:9" ht="26.35" customHeight="1">
      <c r="C58" s="331" t="s">
        <v>228</v>
      </c>
      <c r="D58" s="416">
        <v>23.631872385110903</v>
      </c>
      <c r="E58" s="327">
        <f>+D58</f>
        <v>23.631872385110903</v>
      </c>
      <c r="F58" s="119">
        <f>+E58</f>
        <v>23.631872385110903</v>
      </c>
    </row>
    <row r="59" spans="3:9" ht="26.35" customHeight="1">
      <c r="C59" s="102" t="s">
        <v>233</v>
      </c>
      <c r="D59" s="324">
        <f>D35</f>
        <v>0</v>
      </c>
      <c r="E59" s="324">
        <f>E35</f>
        <v>0</v>
      </c>
      <c r="F59" s="333">
        <f>F35</f>
        <v>0</v>
      </c>
    </row>
    <row r="60" spans="3:9" ht="26.35" customHeight="1">
      <c r="C60" s="331" t="s">
        <v>36</v>
      </c>
      <c r="D60" s="342">
        <f>SUM(D53:D59)</f>
        <v>5104.9664723851101</v>
      </c>
      <c r="E60" s="342">
        <f>SUM(E53:E59)</f>
        <v>5247.8918723851102</v>
      </c>
      <c r="F60" s="343">
        <f>SUM(F53:F59)</f>
        <v>4320.1637963851108</v>
      </c>
      <c r="I60" s="33"/>
    </row>
    <row r="61" spans="3:9" ht="37.15" customHeight="1">
      <c r="C61" s="335" t="s">
        <v>43</v>
      </c>
      <c r="D61" s="344">
        <f>SUM(D60:D60)</f>
        <v>5104.9664723851101</v>
      </c>
      <c r="E61" s="344">
        <f>SUM(E60:E60)</f>
        <v>5247.8918723851102</v>
      </c>
      <c r="F61" s="345">
        <f>SUM(F60:F60)</f>
        <v>4320.1637963851108</v>
      </c>
    </row>
    <row r="62" spans="3:9" ht="37.15" customHeight="1" thickBot="1">
      <c r="C62" s="337" t="s">
        <v>55</v>
      </c>
      <c r="D62" s="723">
        <f>D40</f>
        <v>301</v>
      </c>
      <c r="E62" s="338"/>
      <c r="F62" s="339"/>
    </row>
    <row r="63" spans="3:9" ht="18.649999999999999" customHeight="1" thickTop="1">
      <c r="C63" s="860" t="s">
        <v>158</v>
      </c>
      <c r="D63" s="861"/>
      <c r="E63" s="861"/>
      <c r="F63" s="81"/>
    </row>
    <row r="64" spans="3:9" ht="18.649999999999999" customHeight="1">
      <c r="C64" s="862" t="s">
        <v>605</v>
      </c>
      <c r="D64" s="862"/>
      <c r="E64" s="862"/>
      <c r="F64" s="862"/>
    </row>
    <row r="65" spans="3:9" ht="18.649999999999999" customHeight="1">
      <c r="C65" s="862" t="s">
        <v>316</v>
      </c>
      <c r="D65" s="862"/>
      <c r="E65" s="862"/>
      <c r="F65" s="862"/>
    </row>
    <row r="66" spans="3:9" ht="18.649999999999999" customHeight="1">
      <c r="C66" s="588"/>
      <c r="D66" s="588"/>
      <c r="E66" s="588"/>
      <c r="F66" s="588"/>
    </row>
    <row r="67" spans="3:9" ht="40.6" customHeight="1">
      <c r="C67" s="807" t="s">
        <v>596</v>
      </c>
      <c r="D67" s="807"/>
      <c r="E67" s="807"/>
      <c r="F67" s="807"/>
      <c r="G67" s="807"/>
      <c r="H67" s="807"/>
      <c r="I67" s="807"/>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01 DE JULIO 2021</v>
      </c>
      <c r="D72" s="29"/>
      <c r="E72" s="30"/>
      <c r="F72"/>
    </row>
    <row r="73" spans="3:9" ht="45.2" hidden="1" customHeight="1" thickTop="1">
      <c r="C73" s="51" t="s">
        <v>15</v>
      </c>
      <c r="D73" s="299" t="s">
        <v>208</v>
      </c>
      <c r="E73" s="52" t="s">
        <v>209</v>
      </c>
      <c r="F73" s="52" t="s">
        <v>210</v>
      </c>
      <c r="G73"/>
    </row>
    <row r="74" spans="3:9" ht="27.65" hidden="1" customHeight="1">
      <c r="C74" s="305" t="s">
        <v>19</v>
      </c>
      <c r="D74" s="306">
        <f>+D6</f>
        <v>4115.9399999999996</v>
      </c>
      <c r="E74" s="307">
        <f>+D74</f>
        <v>4115.9399999999996</v>
      </c>
      <c r="F74" s="307">
        <f>+D74*77%</f>
        <v>3169.2737999999999</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301</v>
      </c>
      <c r="E81" s="34"/>
      <c r="F81" s="34"/>
      <c r="G81"/>
    </row>
    <row r="82" spans="1:7" ht="27.65" hidden="1" customHeight="1" thickTop="1">
      <c r="C82" s="863" t="s">
        <v>189</v>
      </c>
      <c r="D82" s="863"/>
      <c r="E82" s="863"/>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01 DE JULIO 2021</v>
      </c>
      <c r="D87" s="43"/>
    </row>
    <row r="88" spans="1:7" ht="28.5" hidden="1" customHeight="1" thickTop="1">
      <c r="A88" s="44"/>
      <c r="B88" s="44"/>
      <c r="C88" s="51" t="s">
        <v>15</v>
      </c>
      <c r="D88" s="52" t="s">
        <v>54</v>
      </c>
    </row>
    <row r="89" spans="1:7" hidden="1">
      <c r="C89" s="305" t="s">
        <v>19</v>
      </c>
      <c r="D89" s="307">
        <f>+D6</f>
        <v>4115.9399999999996</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v>
      </c>
    </row>
    <row r="94" spans="1:7" ht="15.05" hidden="1" thickBot="1">
      <c r="C94" s="45" t="s">
        <v>43</v>
      </c>
      <c r="D94" s="46" t="e">
        <f>SUM(D89:D93)</f>
        <v>#REF!</v>
      </c>
    </row>
    <row r="95" spans="1:7" ht="15.05" hidden="1" thickTop="1"/>
    <row r="96" spans="1:7" hidden="1"/>
    <row r="97" spans="3:16" ht="40.6" hidden="1" customHeight="1">
      <c r="C97" s="864" t="s">
        <v>58</v>
      </c>
      <c r="D97" s="864"/>
    </row>
    <row r="98" spans="3:16" hidden="1"/>
    <row r="99" spans="3:16" hidden="1"/>
    <row r="100" spans="3:16" hidden="1"/>
    <row r="101" spans="3:16" hidden="1"/>
    <row r="102" spans="3:16" hidden="1"/>
    <row r="103" spans="3:16" hidden="1"/>
    <row r="104" spans="3:16" hidden="1"/>
    <row r="106" spans="3:16" ht="19.649999999999999" hidden="1" customHeight="1" outlineLevel="1">
      <c r="C106" s="296" t="s">
        <v>554</v>
      </c>
      <c r="D106" s="296" t="s">
        <v>202</v>
      </c>
      <c r="E106" s="296" t="s">
        <v>203</v>
      </c>
      <c r="F106" s="296" t="s">
        <v>204</v>
      </c>
    </row>
    <row r="107" spans="3:16" ht="19.649999999999999" hidden="1" customHeight="1" outlineLevel="1">
      <c r="C107" s="294" t="s">
        <v>716</v>
      </c>
      <c r="D107" s="295">
        <f>+E6</f>
        <v>4115.9399999999996</v>
      </c>
      <c r="E107" s="295">
        <f>+F6</f>
        <v>3292.752</v>
      </c>
      <c r="F107" s="457">
        <f t="shared" ref="F107:F110" si="1">+D107-E107</f>
        <v>823.18799999999965</v>
      </c>
      <c r="I107" s="500" t="s">
        <v>568</v>
      </c>
      <c r="J107" s="592" t="s">
        <v>722</v>
      </c>
      <c r="K107" s="581">
        <v>912.6</v>
      </c>
      <c r="L107" s="33">
        <f>+F107-K107</f>
        <v>-89.412000000000376</v>
      </c>
      <c r="N107" s="2" t="s">
        <v>642</v>
      </c>
    </row>
    <row r="108" spans="3:16" ht="20.149999999999999" hidden="1" customHeight="1" outlineLevel="1">
      <c r="C108" s="294" t="s">
        <v>717</v>
      </c>
      <c r="D108" s="294">
        <f>+BIODIESEL!E10</f>
        <v>4385.2699999999995</v>
      </c>
      <c r="E108" s="295">
        <f>+J6</f>
        <v>3578.5505600000001</v>
      </c>
      <c r="F108" s="457">
        <f t="shared" si="1"/>
        <v>806.71943999999939</v>
      </c>
      <c r="I108" s="500" t="s">
        <v>568</v>
      </c>
      <c r="J108" s="592" t="s">
        <v>723</v>
      </c>
      <c r="K108" s="581">
        <v>894.35</v>
      </c>
      <c r="L108" s="33">
        <f t="shared" ref="L108:L111" si="2">+F108-K108</f>
        <v>-87.630560000000628</v>
      </c>
      <c r="O108" s="591" t="s">
        <v>643</v>
      </c>
    </row>
    <row r="109" spans="3:16" ht="19.649999999999999" hidden="1" customHeight="1" outlineLevel="1">
      <c r="C109" s="458" t="s">
        <v>553</v>
      </c>
      <c r="D109" s="459">
        <f>+E6</f>
        <v>4115.9399999999996</v>
      </c>
      <c r="E109" s="580">
        <f>+D109*77%</f>
        <v>3169.2737999999999</v>
      </c>
      <c r="F109" s="590">
        <f t="shared" si="1"/>
        <v>946.66619999999966</v>
      </c>
      <c r="I109" s="500" t="s">
        <v>568</v>
      </c>
      <c r="J109" s="592" t="s">
        <v>570</v>
      </c>
      <c r="K109" s="581">
        <v>2281.5</v>
      </c>
      <c r="L109" s="33">
        <f t="shared" si="2"/>
        <v>-1334.8338000000003</v>
      </c>
      <c r="O109" s="592">
        <f>+D109-D109*0.77</f>
        <v>946.66619999999966</v>
      </c>
      <c r="P109" s="2" t="s">
        <v>644</v>
      </c>
    </row>
    <row r="110" spans="3:16" ht="19.649999999999999" hidden="1" customHeight="1" outlineLevel="1">
      <c r="C110" s="458" t="s">
        <v>552</v>
      </c>
      <c r="D110" s="459">
        <f>D53</f>
        <v>4385.2699999999995</v>
      </c>
      <c r="E110" s="459">
        <f>F53</f>
        <v>3457.5419240000001</v>
      </c>
      <c r="F110" s="590">
        <f t="shared" si="1"/>
        <v>927.72807599999942</v>
      </c>
      <c r="I110" s="500"/>
      <c r="J110" s="592" t="s">
        <v>709</v>
      </c>
      <c r="K110" s="581">
        <v>2235.87</v>
      </c>
      <c r="L110" s="33">
        <f t="shared" si="2"/>
        <v>-1308.1419240000005</v>
      </c>
      <c r="O110" s="658">
        <f>+D110-D109*0.98*0.77-13242.08*0.02</f>
        <v>1014.540076</v>
      </c>
    </row>
    <row r="111" spans="3:16" hidden="1" outlineLevel="1">
      <c r="C111" s="2" t="s">
        <v>617</v>
      </c>
      <c r="D111" s="564">
        <f>+D30</f>
        <v>4115.9399999999996</v>
      </c>
      <c r="E111" s="33">
        <f>+F30</f>
        <v>3292.752</v>
      </c>
      <c r="F111" s="33">
        <f>+D111-E111</f>
        <v>823.18799999999965</v>
      </c>
      <c r="J111" s="592" t="s">
        <v>570</v>
      </c>
      <c r="K111" s="581">
        <v>912.6</v>
      </c>
      <c r="L111" s="33">
        <f t="shared" si="2"/>
        <v>-89.412000000000376</v>
      </c>
      <c r="O111" s="33"/>
    </row>
    <row r="112" spans="3:16" collapsed="1">
      <c r="D112" s="564"/>
      <c r="K112" s="581"/>
    </row>
    <row r="113" spans="3:10">
      <c r="D113" s="564"/>
      <c r="J113" s="33"/>
    </row>
    <row r="114" spans="3:10" ht="93.8" customHeight="1">
      <c r="C114" s="808" t="s">
        <v>282</v>
      </c>
      <c r="D114" s="808"/>
      <c r="E114" s="808"/>
      <c r="F114" s="808"/>
      <c r="G114" s="808"/>
      <c r="J114" s="33"/>
    </row>
  </sheetData>
  <sheetProtection algorithmName="SHA-512" hashValue="S7UC6vY1IhaN5+hw3IqTIJrYtHf4qrjnhtovPcdOU0i5vQsp5sIWGY2wLwfeYUM4Evls890gv0X4VqGB73PjwA==" saltValue="PAd4cR7s4z95/l5LgNP2Uw==" spinCount="100000"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tabSelected="1" zoomScale="80" zoomScaleNormal="80" workbookViewId="0">
      <selection activeCell="L7" sqref="L7"/>
    </sheetView>
  </sheetViews>
  <sheetFormatPr baseColWidth="10" defaultColWidth="7.875" defaultRowHeight="14.4"/>
  <cols>
    <col min="1" max="1" width="56.375" style="301" customWidth="1"/>
    <col min="2" max="2" width="21.75" style="301" customWidth="1"/>
    <col min="3" max="3" width="16.375" style="301" customWidth="1"/>
    <col min="4" max="4" width="12.75" style="301" hidden="1" customWidth="1"/>
    <col min="5" max="5" width="21" style="301" customWidth="1"/>
    <col min="6" max="6" width="19.25" style="301" hidden="1" customWidth="1"/>
    <col min="7" max="7" width="22.7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hidden="1" customWidth="1"/>
    <col min="14" max="18" width="0" style="301" hidden="1" customWidth="1"/>
    <col min="19" max="16384" width="7.875" style="301"/>
  </cols>
  <sheetData>
    <row r="1" spans="1:25" s="15" customFormat="1" ht="17.7">
      <c r="A1" s="871" t="s">
        <v>31</v>
      </c>
      <c r="B1" s="871"/>
      <c r="C1" s="871"/>
      <c r="D1" s="871"/>
      <c r="E1" s="871"/>
      <c r="F1" s="871"/>
      <c r="G1" s="871"/>
      <c r="H1" s="871"/>
      <c r="I1" s="871"/>
      <c r="J1" s="871"/>
    </row>
    <row r="2" spans="1:25" s="15" customFormat="1" ht="56.15" customHeight="1">
      <c r="A2" s="872" t="s">
        <v>303</v>
      </c>
      <c r="B2" s="872"/>
      <c r="C2" s="872"/>
      <c r="D2" s="872"/>
      <c r="E2" s="872"/>
      <c r="F2" s="872"/>
      <c r="G2" s="872"/>
      <c r="H2" s="872"/>
      <c r="I2" s="872"/>
      <c r="J2" s="872"/>
      <c r="M2" s="613" t="s">
        <v>659</v>
      </c>
      <c r="N2" s="614"/>
      <c r="O2" s="614"/>
      <c r="P2" s="614"/>
      <c r="Q2" s="614"/>
      <c r="R2" s="614"/>
    </row>
    <row r="3" spans="1:25" ht="24.75" customHeight="1">
      <c r="A3" s="873" t="s">
        <v>24</v>
      </c>
      <c r="B3" s="873"/>
      <c r="C3" s="873"/>
      <c r="D3" s="873"/>
      <c r="E3" s="873"/>
      <c r="F3" s="873"/>
      <c r="G3" s="422"/>
      <c r="I3" s="493"/>
      <c r="J3" s="493"/>
      <c r="K3" s="493"/>
      <c r="L3" s="493"/>
      <c r="M3" s="493"/>
      <c r="N3" s="493"/>
      <c r="O3" s="493"/>
    </row>
    <row r="4" spans="1:25">
      <c r="A4" s="25"/>
    </row>
    <row r="5" spans="1:25" ht="15.05" thickBot="1">
      <c r="A5" s="22" t="str">
        <f>+'COMBUSTIBLES '!A1</f>
        <v>01 DE JULIO 2021</v>
      </c>
      <c r="B5" s="183">
        <v>0</v>
      </c>
      <c r="C5" s="183">
        <v>0.02</v>
      </c>
      <c r="D5" s="183">
        <v>0</v>
      </c>
      <c r="E5" s="184">
        <v>0.02</v>
      </c>
      <c r="F5" s="183">
        <v>0</v>
      </c>
      <c r="G5" s="183">
        <v>0</v>
      </c>
      <c r="H5" s="184">
        <v>0.02</v>
      </c>
      <c r="I5" s="183">
        <v>0</v>
      </c>
      <c r="J5" s="184">
        <v>0</v>
      </c>
    </row>
    <row r="6" spans="1:25" ht="47.3" customHeight="1" thickTop="1">
      <c r="A6" s="346" t="s">
        <v>15</v>
      </c>
      <c r="B6" s="347" t="s">
        <v>65</v>
      </c>
      <c r="C6" s="347" t="s">
        <v>600</v>
      </c>
      <c r="D6" s="347" t="s">
        <v>160</v>
      </c>
      <c r="E6" s="347" t="s">
        <v>601</v>
      </c>
      <c r="F6" s="347" t="s">
        <v>161</v>
      </c>
      <c r="G6" s="347" t="s">
        <v>290</v>
      </c>
      <c r="H6" s="347" t="s">
        <v>602</v>
      </c>
      <c r="I6" s="347" t="s">
        <v>277</v>
      </c>
      <c r="J6" s="348" t="s">
        <v>276</v>
      </c>
    </row>
    <row r="7" spans="1:25" ht="27.65" customHeight="1">
      <c r="A7" s="117" t="s">
        <v>244</v>
      </c>
      <c r="B7" s="326">
        <v>8094.91</v>
      </c>
      <c r="C7" s="326">
        <v>8094.91</v>
      </c>
      <c r="D7" s="326">
        <v>6875.1811988924737</v>
      </c>
      <c r="E7" s="326">
        <v>8173.63</v>
      </c>
      <c r="F7" s="326">
        <v>6794.4669776671717</v>
      </c>
      <c r="G7" s="326">
        <v>6537.1057563440854</v>
      </c>
      <c r="H7" s="326">
        <v>8094.91</v>
      </c>
      <c r="I7" s="531">
        <f>+C7</f>
        <v>8094.91</v>
      </c>
      <c r="J7" s="398">
        <f>+I7</f>
        <v>8094.91</v>
      </c>
      <c r="M7" s="582"/>
    </row>
    <row r="8" spans="1:25" ht="27.65" customHeight="1">
      <c r="A8" s="334" t="s">
        <v>66</v>
      </c>
      <c r="B8" s="349">
        <v>0</v>
      </c>
      <c r="C8" s="326">
        <f>+BIODIESEL!B7</f>
        <v>17582.68</v>
      </c>
      <c r="D8" s="611">
        <v>0</v>
      </c>
      <c r="E8" s="611">
        <f>+C8</f>
        <v>17582.68</v>
      </c>
      <c r="F8" s="611">
        <v>0</v>
      </c>
      <c r="G8" s="611">
        <v>0</v>
      </c>
      <c r="H8" s="611">
        <f>+E8</f>
        <v>17582.68</v>
      </c>
      <c r="I8" s="531">
        <f>+D8</f>
        <v>0</v>
      </c>
      <c r="J8" s="398">
        <f>+D8</f>
        <v>0</v>
      </c>
      <c r="M8" s="600" t="s">
        <v>656</v>
      </c>
      <c r="N8" s="601"/>
      <c r="O8" s="601"/>
      <c r="P8" s="601"/>
      <c r="Q8" s="359"/>
      <c r="R8" s="359"/>
      <c r="S8" s="359"/>
      <c r="T8" s="359"/>
      <c r="U8" s="359"/>
      <c r="V8" s="359"/>
      <c r="W8" s="359"/>
      <c r="X8" s="359"/>
      <c r="Y8" s="359"/>
    </row>
    <row r="9" spans="1:25" ht="35.35" customHeight="1">
      <c r="A9" s="351" t="s">
        <v>159</v>
      </c>
      <c r="B9" s="352">
        <f>+B8*B5+B7*(1-B5)</f>
        <v>8094.91</v>
      </c>
      <c r="C9" s="402">
        <f>+ROUND(C8*C5,2)+C7*(1-C5)</f>
        <v>8284.6617999999999</v>
      </c>
      <c r="D9" s="402">
        <f>+D8*D5+D7*(1-D5)</f>
        <v>6875.1811988924737</v>
      </c>
      <c r="E9" s="402">
        <f>ROUND((E8*E5),2)+ROUND(E7*(1-E5),2)</f>
        <v>8361.81</v>
      </c>
      <c r="F9" s="402">
        <f t="shared" ref="F9:G9" si="0">+F8*F5+F7*(1-F5)</f>
        <v>6794.4669776671717</v>
      </c>
      <c r="G9" s="402">
        <f t="shared" si="0"/>
        <v>6537.1057563440854</v>
      </c>
      <c r="H9" s="402">
        <f>+ROUND(H8*H5,2)+H7*(1-H5)</f>
        <v>8284.6617999999999</v>
      </c>
      <c r="I9" s="532">
        <f>+I7</f>
        <v>8094.91</v>
      </c>
      <c r="J9" s="403">
        <f>+J7</f>
        <v>8094.91</v>
      </c>
      <c r="L9" s="565" t="s">
        <v>158</v>
      </c>
      <c r="M9" s="583"/>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1">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191</v>
      </c>
      <c r="B11" s="326">
        <v>22.26</v>
      </c>
      <c r="C11" s="350">
        <f>+B11</f>
        <v>22.26</v>
      </c>
      <c r="D11" s="350">
        <f>+B11</f>
        <v>22.26</v>
      </c>
      <c r="E11" s="350">
        <f>+B11</f>
        <v>22.26</v>
      </c>
      <c r="F11" s="350">
        <f>+B11</f>
        <v>22.26</v>
      </c>
      <c r="G11" s="350">
        <f>+C11</f>
        <v>22.26</v>
      </c>
      <c r="H11" s="350">
        <f>+B11</f>
        <v>22.26</v>
      </c>
      <c r="I11" s="531">
        <f>+D11</f>
        <v>22.26</v>
      </c>
      <c r="J11" s="398">
        <f>+D11</f>
        <v>22.26</v>
      </c>
      <c r="M11" s="359"/>
      <c r="N11" s="359"/>
      <c r="O11" s="359"/>
      <c r="P11" s="359"/>
      <c r="Q11" s="359"/>
      <c r="R11" s="566">
        <f t="shared" ref="R11:U11" si="1">+(R10-R9)/R9</f>
        <v>0</v>
      </c>
      <c r="S11" s="566">
        <f t="shared" si="1"/>
        <v>-8.6521733848730145E-2</v>
      </c>
      <c r="T11" s="566">
        <f t="shared" si="1"/>
        <v>0</v>
      </c>
      <c r="U11" s="566">
        <f t="shared" si="1"/>
        <v>0</v>
      </c>
      <c r="V11" s="359"/>
      <c r="W11" s="359"/>
      <c r="X11" s="359"/>
      <c r="Y11" s="359"/>
    </row>
    <row r="12" spans="1:25" ht="27.65" hidden="1" customHeight="1">
      <c r="A12" s="102" t="s">
        <v>233</v>
      </c>
      <c r="B12" s="350">
        <f>+'COMBUSTIBLES '!E10</f>
        <v>0</v>
      </c>
      <c r="C12" s="350">
        <f>+B12</f>
        <v>0</v>
      </c>
      <c r="D12" s="350">
        <f>+C12</f>
        <v>0</v>
      </c>
      <c r="E12" s="350">
        <f>+D12</f>
        <v>0</v>
      </c>
      <c r="F12" s="350">
        <f>+E12</f>
        <v>0</v>
      </c>
      <c r="G12" s="350">
        <f>+F12</f>
        <v>0</v>
      </c>
      <c r="H12" s="350">
        <f>+F12</f>
        <v>0</v>
      </c>
      <c r="I12" s="531">
        <f>+D12</f>
        <v>0</v>
      </c>
      <c r="J12" s="398">
        <f>+D12</f>
        <v>0</v>
      </c>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1">
        <f>+Variables!C32</f>
        <v>531.27</v>
      </c>
      <c r="J13" s="398">
        <f>+Variables!C33</f>
        <v>677.11</v>
      </c>
    </row>
    <row r="14" spans="1:25" ht="27.65" customHeight="1">
      <c r="A14" s="334" t="s">
        <v>262</v>
      </c>
      <c r="B14" s="431" t="str">
        <f>+'COMBUSTIBLES '!C12</f>
        <v>(3)</v>
      </c>
      <c r="C14" s="431" t="str">
        <f>+'COMBUSTIBLES '!D12</f>
        <v>(3)</v>
      </c>
      <c r="D14" s="431" t="str">
        <f>+B14</f>
        <v>(3)</v>
      </c>
      <c r="E14" s="431" t="str">
        <f>+D14</f>
        <v>(3)</v>
      </c>
      <c r="F14" s="431" t="str">
        <f>+D14</f>
        <v>(3)</v>
      </c>
      <c r="G14" s="431" t="str">
        <f>+E14</f>
        <v>(3)</v>
      </c>
      <c r="H14" s="431" t="str">
        <f>+F14</f>
        <v>(3)</v>
      </c>
      <c r="I14" s="533" t="str">
        <f>+G14</f>
        <v>(3)</v>
      </c>
      <c r="J14" s="101" t="str">
        <f>+H14</f>
        <v>(3)</v>
      </c>
    </row>
    <row r="15" spans="1:25" ht="27.65" customHeight="1">
      <c r="A15" s="301" t="s">
        <v>305</v>
      </c>
      <c r="B15" s="350">
        <f>+'COMBUSTIBLES '!E13</f>
        <v>179</v>
      </c>
      <c r="C15" s="350">
        <f>+BIODIESEL!E13</f>
        <v>175.42</v>
      </c>
      <c r="D15" s="350">
        <f>+B15</f>
        <v>179</v>
      </c>
      <c r="E15" s="350">
        <f>+BIODIESEL!E13</f>
        <v>175.42</v>
      </c>
      <c r="F15" s="350">
        <f>+'COMBUSTIBLES '!E13</f>
        <v>179</v>
      </c>
      <c r="G15" s="350"/>
      <c r="H15" s="350">
        <f>+E15</f>
        <v>175.42</v>
      </c>
      <c r="I15" s="531">
        <f>+D15</f>
        <v>179</v>
      </c>
      <c r="J15" s="398">
        <f>+I15</f>
        <v>179</v>
      </c>
      <c r="L15" s="428"/>
    </row>
    <row r="16" spans="1:25" ht="27.65" customHeight="1">
      <c r="A16" s="334" t="s">
        <v>246</v>
      </c>
      <c r="B16" s="353" t="s">
        <v>22</v>
      </c>
      <c r="C16" s="350" t="s">
        <v>22</v>
      </c>
      <c r="D16" s="350" t="str">
        <f t="shared" ref="D16:G17" si="2">+C16</f>
        <v>(***)</v>
      </c>
      <c r="E16" s="350" t="str">
        <f t="shared" si="2"/>
        <v>(***)</v>
      </c>
      <c r="F16" s="350" t="str">
        <f t="shared" si="2"/>
        <v>(***)</v>
      </c>
      <c r="G16" s="350" t="str">
        <f t="shared" si="2"/>
        <v>(***)</v>
      </c>
      <c r="H16" s="350" t="str">
        <f>+F16</f>
        <v>(***)</v>
      </c>
      <c r="I16" s="531" t="str">
        <f>+D16</f>
        <v>(***)</v>
      </c>
      <c r="J16" s="398" t="s">
        <v>22</v>
      </c>
    </row>
    <row r="17" spans="1:11" ht="27.65" customHeight="1">
      <c r="A17" s="334" t="s">
        <v>245</v>
      </c>
      <c r="B17" s="350" t="s">
        <v>219</v>
      </c>
      <c r="C17" s="350" t="str">
        <f>+B17</f>
        <v>(****)</v>
      </c>
      <c r="D17" s="350" t="str">
        <f t="shared" si="2"/>
        <v>(****)</v>
      </c>
      <c r="E17" s="350" t="str">
        <f t="shared" si="2"/>
        <v>(****)</v>
      </c>
      <c r="F17" s="350" t="str">
        <f t="shared" si="2"/>
        <v>(****)</v>
      </c>
      <c r="G17" s="350" t="str">
        <f t="shared" si="2"/>
        <v>(****)</v>
      </c>
      <c r="H17" s="350" t="str">
        <f>+F17</f>
        <v>(****)</v>
      </c>
      <c r="I17" s="531" t="str">
        <f>+D17</f>
        <v>(****)</v>
      </c>
      <c r="J17" s="398" t="s">
        <v>219</v>
      </c>
    </row>
    <row r="18" spans="1:11" ht="27.65" customHeight="1" thickBot="1">
      <c r="A18" s="354" t="s">
        <v>720</v>
      </c>
      <c r="B18" s="731" t="s">
        <v>725</v>
      </c>
      <c r="C18" s="723" t="str">
        <f>+B18</f>
        <v>(5)</v>
      </c>
      <c r="D18" s="723" t="str">
        <f>+B18</f>
        <v>(5)</v>
      </c>
      <c r="E18" s="723" t="str">
        <f>+B18</f>
        <v>(5)</v>
      </c>
      <c r="F18" s="723" t="str">
        <f>+D18</f>
        <v>(5)</v>
      </c>
      <c r="G18" s="723" t="str">
        <f>+E18</f>
        <v>(5)</v>
      </c>
      <c r="H18" s="723" t="str">
        <f>+F18</f>
        <v>(5)</v>
      </c>
      <c r="I18" s="724" t="str">
        <f>+D18</f>
        <v>(5)</v>
      </c>
      <c r="J18" s="339"/>
    </row>
    <row r="19" spans="1:11" s="359" customFormat="1" ht="15.9" customHeight="1" thickTop="1">
      <c r="A19" s="23"/>
      <c r="B19" s="24"/>
      <c r="C19" s="24"/>
      <c r="D19" s="24"/>
      <c r="I19" s="24"/>
    </row>
    <row r="20" spans="1:11" s="359" customFormat="1" ht="15.9" customHeight="1">
      <c r="A20" s="421" t="s">
        <v>304</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4"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869" t="s">
        <v>243</v>
      </c>
      <c r="B28" s="869"/>
      <c r="C28" s="869"/>
      <c r="D28" s="869"/>
      <c r="E28" s="869"/>
      <c r="F28" s="869"/>
      <c r="G28" s="869"/>
      <c r="H28" s="869"/>
      <c r="I28" s="869"/>
      <c r="J28" s="869"/>
    </row>
    <row r="29" spans="1:11" s="18" customFormat="1" ht="8.35" customHeight="1">
      <c r="A29" s="16"/>
      <c r="B29" s="17"/>
      <c r="C29" s="17"/>
    </row>
    <row r="30" spans="1:11" s="18" customFormat="1" ht="30.8" customHeight="1">
      <c r="A30" s="869" t="s">
        <v>248</v>
      </c>
      <c r="B30" s="869"/>
      <c r="C30" s="869"/>
      <c r="D30" s="869"/>
      <c r="E30" s="869"/>
      <c r="F30" s="869"/>
      <c r="G30" s="869"/>
      <c r="H30" s="869"/>
      <c r="I30" s="869"/>
      <c r="J30" s="869"/>
    </row>
    <row r="31" spans="1:11" s="18" customFormat="1" ht="5.4" customHeight="1">
      <c r="A31" s="16"/>
      <c r="B31" s="17"/>
      <c r="C31" s="17"/>
    </row>
    <row r="32" spans="1:11" s="18" customFormat="1" ht="38.15" customHeight="1">
      <c r="A32" s="869" t="s">
        <v>215</v>
      </c>
      <c r="B32" s="869"/>
      <c r="C32" s="869"/>
      <c r="D32" s="869"/>
      <c r="E32" s="869"/>
      <c r="F32" s="869"/>
      <c r="G32" s="869"/>
      <c r="H32" s="869"/>
      <c r="I32" s="869"/>
      <c r="J32" s="869"/>
    </row>
    <row r="33" spans="1:10" s="18" customFormat="1">
      <c r="A33" s="16" t="s">
        <v>158</v>
      </c>
      <c r="B33" s="17"/>
      <c r="C33" s="17"/>
    </row>
    <row r="34" spans="1:10" s="18" customFormat="1" ht="14.25" customHeight="1">
      <c r="A34" s="870" t="s">
        <v>590</v>
      </c>
      <c r="B34" s="870"/>
      <c r="C34" s="870"/>
      <c r="D34" s="870"/>
      <c r="E34" s="870"/>
      <c r="F34" s="870"/>
      <c r="G34" s="870"/>
      <c r="H34" s="870"/>
      <c r="I34" s="870"/>
      <c r="J34" s="870"/>
    </row>
    <row r="35" spans="1:10" ht="69.05" customHeight="1">
      <c r="A35" s="870"/>
      <c r="B35" s="870"/>
      <c r="C35" s="870"/>
      <c r="D35" s="870"/>
      <c r="E35" s="870"/>
      <c r="F35" s="870"/>
      <c r="G35" s="870"/>
      <c r="H35" s="870"/>
      <c r="I35" s="870"/>
      <c r="J35" s="870"/>
    </row>
    <row r="36" spans="1:10" ht="49.1" customHeight="1">
      <c r="A36" s="807" t="s">
        <v>724</v>
      </c>
      <c r="B36" s="807"/>
      <c r="C36" s="807"/>
      <c r="D36" s="807"/>
      <c r="E36" s="807"/>
      <c r="F36" s="807"/>
      <c r="G36" s="807"/>
      <c r="H36" s="807"/>
      <c r="I36" s="807"/>
    </row>
    <row r="51" spans="4:12">
      <c r="D51" s="493"/>
      <c r="E51" s="493"/>
      <c r="F51" s="493"/>
      <c r="G51" s="493"/>
      <c r="H51" s="493"/>
      <c r="I51" s="493"/>
      <c r="J51" s="493"/>
      <c r="K51" s="493"/>
      <c r="L51" s="493"/>
    </row>
    <row r="52" spans="4:12">
      <c r="D52" s="493"/>
      <c r="E52" s="493"/>
      <c r="F52" s="493"/>
      <c r="G52" s="493"/>
      <c r="H52" s="493"/>
      <c r="I52" s="493"/>
      <c r="J52" s="493"/>
      <c r="K52" s="493"/>
      <c r="L52" s="493"/>
    </row>
  </sheetData>
  <sheetProtection algorithmName="SHA-512" hashValue="KLr0gguKkciZ9acqmaSQHlapwcY7D5B/ZCUn8NNTPJjLUCvBgPqHpVAzCu2v9cphO3XQdnyia4bxPLM4JFP1Ow==" saltValue="sbX4zwruqM2eu8Kt5FPBYQ==" spinCount="100000" sheet="1" objects="1" scenarios="1"/>
  <mergeCells count="8">
    <mergeCell ref="A32:J32"/>
    <mergeCell ref="A34:J35"/>
    <mergeCell ref="A36:I36"/>
    <mergeCell ref="A1:J1"/>
    <mergeCell ref="A2:J2"/>
    <mergeCell ref="A3:F3"/>
    <mergeCell ref="A28:J28"/>
    <mergeCell ref="A30:J30"/>
  </mergeCells>
  <phoneticPr fontId="27"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D85" sqref="D85"/>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306</v>
      </c>
      <c r="C1" s="419">
        <v>490</v>
      </c>
    </row>
    <row r="2" spans="2:7" ht="12.45">
      <c r="B2" s="418" t="s">
        <v>307</v>
      </c>
      <c r="C2" s="419">
        <v>469</v>
      </c>
    </row>
    <row r="3" spans="2:7" ht="12.45">
      <c r="B3" s="418" t="s">
        <v>291</v>
      </c>
      <c r="C3" s="419">
        <v>930</v>
      </c>
    </row>
    <row r="4" spans="2:7" ht="12.45" outlineLevel="1">
      <c r="B4" s="418" t="s">
        <v>292</v>
      </c>
      <c r="C4" s="419">
        <v>1109.5455419999998</v>
      </c>
    </row>
    <row r="5" spans="2:7" ht="12.45" outlineLevel="1">
      <c r="B5" s="418" t="s">
        <v>293</v>
      </c>
      <c r="C5" s="419">
        <v>529.41173003999995</v>
      </c>
    </row>
    <row r="6" spans="2:7" ht="12.45">
      <c r="B6" s="418" t="s">
        <v>297</v>
      </c>
      <c r="C6" s="419">
        <v>965.24</v>
      </c>
    </row>
    <row r="7" spans="2:7" ht="12.45">
      <c r="B7" s="418" t="s">
        <v>299</v>
      </c>
      <c r="C7" s="419">
        <v>1021.31</v>
      </c>
    </row>
    <row r="8" spans="2:7" ht="12.45">
      <c r="B8" s="418" t="s">
        <v>298</v>
      </c>
      <c r="C8" s="419">
        <v>639.51</v>
      </c>
    </row>
    <row r="9" spans="2:7" ht="12.45">
      <c r="B9" s="418" t="s">
        <v>321</v>
      </c>
      <c r="C9" s="419">
        <v>597.75187500000004</v>
      </c>
    </row>
    <row r="10" spans="2:7" ht="12.45">
      <c r="B10" s="418" t="s">
        <v>309</v>
      </c>
      <c r="C10" s="419">
        <v>135</v>
      </c>
    </row>
    <row r="11" spans="2:7" ht="12.45">
      <c r="B11" s="418" t="s">
        <v>310</v>
      </c>
      <c r="C11" s="419">
        <v>152</v>
      </c>
    </row>
    <row r="12" spans="2:7" ht="12.45">
      <c r="B12" s="418" t="s">
        <v>311</v>
      </c>
      <c r="C12" s="419">
        <v>148</v>
      </c>
    </row>
    <row r="13" spans="2:7" ht="12.45">
      <c r="B13" s="418" t="s">
        <v>312</v>
      </c>
      <c r="C13" s="419">
        <v>177</v>
      </c>
      <c r="F13" s="139">
        <v>490</v>
      </c>
      <c r="G13" s="617">
        <f>+F13*(1+$C$15)*(1+$C$16)*(1+3.8%)</f>
        <v>546.25819534439995</v>
      </c>
    </row>
    <row r="14" spans="2:7">
      <c r="B14" s="417" t="s">
        <v>322</v>
      </c>
      <c r="C14" s="425">
        <v>5.7500000000000002E-2</v>
      </c>
      <c r="F14" s="139">
        <v>930</v>
      </c>
      <c r="G14" s="617">
        <f>+F14*(1+$C$15)*(1+$C$16)*(1+3.8%)</f>
        <v>1036.7757585108</v>
      </c>
    </row>
    <row r="15" spans="2:7">
      <c r="B15" s="417" t="s">
        <v>557</v>
      </c>
      <c r="C15" s="425">
        <v>4.0899999999999999E-2</v>
      </c>
      <c r="D15" s="426"/>
      <c r="F15" s="139">
        <v>469</v>
      </c>
      <c r="G15" s="617">
        <f>+F15*(1+$C$15)*(1+$C$16)*(1+3.8%)</f>
        <v>522.84712982964004</v>
      </c>
    </row>
    <row r="16" spans="2:7">
      <c r="B16" s="417" t="s">
        <v>567</v>
      </c>
      <c r="C16" s="425">
        <v>3.1800000000000002E-2</v>
      </c>
      <c r="D16" s="426"/>
    </row>
    <row r="17" spans="2:12" s="136" customFormat="1">
      <c r="B17" s="755" t="str">
        <f>+'COMBUSTIBLES '!A1</f>
        <v>01 DE JULIO 2021</v>
      </c>
      <c r="C17" s="143" t="s">
        <v>259</v>
      </c>
      <c r="E17" s="755" t="s">
        <v>692</v>
      </c>
      <c r="F17" s="755"/>
      <c r="G17" s="755"/>
    </row>
    <row r="18" spans="2:12" s="136" customFormat="1">
      <c r="B18" s="755"/>
      <c r="C18" s="144" t="s">
        <v>174</v>
      </c>
      <c r="D18" s="145"/>
      <c r="E18" s="756" t="s">
        <v>174</v>
      </c>
      <c r="F18" s="756"/>
      <c r="G18" s="756"/>
    </row>
    <row r="19" spans="2:12" s="136" customFormat="1">
      <c r="B19" s="755"/>
      <c r="C19" s="146" t="s">
        <v>178</v>
      </c>
      <c r="D19" s="145"/>
      <c r="E19" s="146" t="s">
        <v>175</v>
      </c>
      <c r="F19" s="146" t="s">
        <v>176</v>
      </c>
      <c r="G19" s="146" t="s">
        <v>177</v>
      </c>
      <c r="I19" s="136">
        <f>1555*1.0244</f>
        <v>1592.942</v>
      </c>
    </row>
    <row r="20" spans="2:12" ht="15.05">
      <c r="B20" s="140" t="s">
        <v>25</v>
      </c>
      <c r="C20" s="675">
        <v>555.04999999999995</v>
      </c>
      <c r="D20" s="138"/>
      <c r="E20" s="141">
        <v>5078.7700000000004</v>
      </c>
      <c r="F20" s="141">
        <v>1900</v>
      </c>
      <c r="G20" s="141">
        <v>1900</v>
      </c>
      <c r="H20" s="297"/>
      <c r="I20" s="292"/>
      <c r="J20" s="292"/>
      <c r="K20" s="292"/>
      <c r="L20" s="292"/>
    </row>
    <row r="21" spans="2:12" ht="15.05">
      <c r="B21" s="140" t="s">
        <v>185</v>
      </c>
      <c r="C21" s="675">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75">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75">
        <v>1053.47</v>
      </c>
      <c r="D23" s="138"/>
      <c r="E23" s="141">
        <v>7107.81</v>
      </c>
      <c r="F23" s="141" t="s">
        <v>157</v>
      </c>
      <c r="G23" s="141" t="s">
        <v>157</v>
      </c>
      <c r="H23" s="297">
        <f>+C23*90%</f>
        <v>948.12300000000005</v>
      </c>
      <c r="I23" s="292">
        <f>+C23*92%</f>
        <v>969.19240000000002</v>
      </c>
      <c r="J23" s="292"/>
      <c r="K23" s="292"/>
      <c r="L23" s="292"/>
    </row>
    <row r="24" spans="2:12" ht="15.05">
      <c r="B24" s="140" t="s">
        <v>295</v>
      </c>
      <c r="C24" s="675">
        <v>1093.3800000000001</v>
      </c>
      <c r="D24" s="138"/>
      <c r="E24" s="420"/>
      <c r="F24" s="420"/>
      <c r="G24" s="420"/>
      <c r="H24" s="297"/>
      <c r="I24" s="292"/>
      <c r="J24" s="292"/>
      <c r="K24" s="292"/>
      <c r="L24" s="292"/>
    </row>
    <row r="25" spans="2:12" ht="15.05">
      <c r="B25" s="140" t="s">
        <v>300</v>
      </c>
      <c r="C25" s="675">
        <v>1156.9000000000001</v>
      </c>
      <c r="D25" s="469" t="s">
        <v>559</v>
      </c>
      <c r="E25" s="682"/>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75">
        <f>+ROUND('Resoluciones, leyes'!$Q$40,2)</f>
        <v>531.27</v>
      </c>
      <c r="D27" s="138"/>
      <c r="E27" s="141">
        <v>5024.59</v>
      </c>
      <c r="F27" s="141">
        <v>1900</v>
      </c>
      <c r="G27" s="141">
        <v>3400</v>
      </c>
      <c r="H27" s="297"/>
      <c r="I27" s="292"/>
      <c r="J27" s="659" t="s">
        <v>688</v>
      </c>
      <c r="K27" s="292"/>
      <c r="L27" s="292"/>
    </row>
    <row r="28" spans="2:12">
      <c r="B28" s="140" t="s">
        <v>170</v>
      </c>
      <c r="C28" s="676">
        <f>+C27</f>
        <v>531.27</v>
      </c>
      <c r="D28" s="138"/>
      <c r="E28" s="141">
        <f t="shared" ref="E28:G31" si="1">+E27</f>
        <v>5024.59</v>
      </c>
      <c r="F28" s="141">
        <f t="shared" si="1"/>
        <v>1900</v>
      </c>
      <c r="G28" s="141">
        <f t="shared" si="1"/>
        <v>3400</v>
      </c>
      <c r="H28" s="292"/>
      <c r="I28" s="292"/>
      <c r="J28" s="292"/>
      <c r="K28" s="292"/>
      <c r="L28" s="292"/>
    </row>
    <row r="29" spans="2:12">
      <c r="B29" s="140" t="s">
        <v>171</v>
      </c>
      <c r="C29" s="676">
        <f>+C28</f>
        <v>531.27</v>
      </c>
      <c r="D29" s="138"/>
      <c r="E29" s="141">
        <f t="shared" si="1"/>
        <v>5024.59</v>
      </c>
      <c r="F29" s="141">
        <f t="shared" si="1"/>
        <v>1900</v>
      </c>
      <c r="G29" s="141">
        <f t="shared" si="1"/>
        <v>3400</v>
      </c>
      <c r="J29" s="292"/>
      <c r="K29" s="292"/>
      <c r="L29" s="292"/>
    </row>
    <row r="30" spans="2:12">
      <c r="B30" s="140" t="s">
        <v>172</v>
      </c>
      <c r="C30" s="676">
        <f>+C29</f>
        <v>531.27</v>
      </c>
      <c r="D30" s="138"/>
      <c r="E30" s="141">
        <f t="shared" si="1"/>
        <v>5024.59</v>
      </c>
      <c r="F30" s="141">
        <f t="shared" si="1"/>
        <v>1900</v>
      </c>
      <c r="G30" s="141">
        <f t="shared" si="1"/>
        <v>3400</v>
      </c>
      <c r="H30" s="292">
        <f>+C30*98%</f>
        <v>520.64459999999997</v>
      </c>
      <c r="I30" s="292">
        <f>+C30*92%</f>
        <v>488.76839999999999</v>
      </c>
    </row>
    <row r="31" spans="2:12">
      <c r="B31" s="140" t="s">
        <v>173</v>
      </c>
      <c r="C31" s="676">
        <f>+C30</f>
        <v>531.27</v>
      </c>
      <c r="D31" s="138"/>
      <c r="E31" s="141">
        <f t="shared" si="1"/>
        <v>5024.59</v>
      </c>
      <c r="F31" s="141">
        <f t="shared" si="1"/>
        <v>1900</v>
      </c>
      <c r="G31" s="141">
        <f t="shared" si="1"/>
        <v>3400</v>
      </c>
      <c r="H31" s="292">
        <f>+C29*0.96</f>
        <v>510.01919999999996</v>
      </c>
      <c r="I31" s="292">
        <f>+C31*90%</f>
        <v>478.14299999999997</v>
      </c>
    </row>
    <row r="32" spans="2:12">
      <c r="B32" s="140" t="s">
        <v>275</v>
      </c>
      <c r="C32" s="676">
        <f>C27</f>
        <v>531.27</v>
      </c>
    </row>
    <row r="33" spans="2:7">
      <c r="B33" s="140" t="s">
        <v>294</v>
      </c>
      <c r="C33" s="676">
        <f>+ROUND('Resoluciones, leyes'!$Q$43,2)</f>
        <v>677.11</v>
      </c>
    </row>
    <row r="34" spans="2:7">
      <c r="B34" s="140" t="s">
        <v>296</v>
      </c>
      <c r="C34" s="675">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618</v>
      </c>
      <c r="C41" s="425" t="s">
        <v>158</v>
      </c>
    </row>
    <row r="42" spans="2:7">
      <c r="B42" s="417"/>
      <c r="C42" s="425" t="s">
        <v>158</v>
      </c>
    </row>
    <row r="43" spans="2:7">
      <c r="B43" s="755" t="str">
        <f>B17</f>
        <v>01 DE JULIO 2021</v>
      </c>
      <c r="C43" s="423" t="s">
        <v>308</v>
      </c>
    </row>
    <row r="44" spans="2:7" ht="12.45">
      <c r="B44" s="755"/>
      <c r="C44" s="424" t="s">
        <v>174</v>
      </c>
    </row>
    <row r="45" spans="2:7" ht="12.45">
      <c r="B45" s="755"/>
      <c r="C45" s="146" t="s">
        <v>178</v>
      </c>
    </row>
    <row r="46" spans="2:7">
      <c r="B46" s="140" t="s">
        <v>313</v>
      </c>
      <c r="C46" s="681">
        <v>159</v>
      </c>
    </row>
    <row r="47" spans="2:7">
      <c r="B47" s="140" t="s">
        <v>18</v>
      </c>
      <c r="C47" s="681">
        <v>179</v>
      </c>
    </row>
    <row r="48" spans="2:7">
      <c r="B48" s="140" t="s">
        <v>314</v>
      </c>
      <c r="C48" s="681">
        <v>174</v>
      </c>
    </row>
    <row r="49" spans="2:8">
      <c r="B49" s="140" t="s">
        <v>315</v>
      </c>
      <c r="C49" s="681">
        <v>208</v>
      </c>
    </row>
    <row r="58" spans="2:8">
      <c r="C58" s="704"/>
    </row>
    <row r="59" spans="2:8">
      <c r="H59" s="683">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B1" zoomScaleNormal="100" workbookViewId="0">
      <selection activeCell="D85" sqref="D85"/>
    </sheetView>
  </sheetViews>
  <sheetFormatPr baseColWidth="10" defaultRowHeight="12.45"/>
  <cols>
    <col min="12" max="12" width="34.75" customWidth="1"/>
  </cols>
  <sheetData>
    <row r="4" spans="12:12">
      <c r="L4" s="618" t="s">
        <v>660</v>
      </c>
    </row>
    <row r="31" spans="12:16" ht="18" customHeight="1">
      <c r="M31" s="622">
        <v>2017</v>
      </c>
      <c r="N31" s="622">
        <v>2018</v>
      </c>
      <c r="O31" s="622">
        <v>2019</v>
      </c>
      <c r="P31" s="622">
        <v>2020</v>
      </c>
    </row>
    <row r="32" spans="12:16" ht="15.05" customHeight="1">
      <c r="L32" s="621" t="s">
        <v>661</v>
      </c>
      <c r="M32" s="623">
        <v>4.0899999999999999E-2</v>
      </c>
      <c r="N32" s="623">
        <v>3.1800000000000002E-2</v>
      </c>
      <c r="O32" s="623">
        <v>3.7999999999999999E-2</v>
      </c>
      <c r="P32" s="674">
        <v>1.61E-2</v>
      </c>
    </row>
    <row r="34" spans="12:18" ht="13.1">
      <c r="L34" s="625" t="s">
        <v>673</v>
      </c>
      <c r="M34" s="626"/>
      <c r="N34" s="626"/>
      <c r="O34" s="626"/>
      <c r="P34" s="626"/>
      <c r="Q34" s="659" t="s">
        <v>688</v>
      </c>
    </row>
    <row r="35" spans="12:18" ht="13.1">
      <c r="L35" s="624"/>
    </row>
    <row r="36" spans="12:18" ht="13.1">
      <c r="L36" s="760"/>
      <c r="M36" s="760"/>
      <c r="N36" s="759" t="s">
        <v>665</v>
      </c>
      <c r="O36" s="759"/>
      <c r="P36" s="759"/>
    </row>
    <row r="37" spans="12:18" ht="14.25" customHeight="1">
      <c r="L37" s="628" t="s">
        <v>667</v>
      </c>
      <c r="M37" s="634" t="s">
        <v>666</v>
      </c>
      <c r="N37" s="634">
        <v>2018</v>
      </c>
      <c r="O37" s="634">
        <v>2019</v>
      </c>
      <c r="P37" s="634">
        <v>2020</v>
      </c>
      <c r="Q37" s="634">
        <v>2021</v>
      </c>
    </row>
    <row r="38" spans="12:18" ht="13.6" customHeight="1">
      <c r="L38" s="629" t="s">
        <v>662</v>
      </c>
      <c r="M38" s="635">
        <v>490</v>
      </c>
      <c r="N38" s="633">
        <f>+M38*(1+$M$32)</f>
        <v>510.041</v>
      </c>
      <c r="O38" s="633">
        <f>+N38*(1+$N$32)</f>
        <v>526.26030379999997</v>
      </c>
      <c r="P38" s="680">
        <f>+O38*(1+$O$32)</f>
        <v>546.25819534439995</v>
      </c>
      <c r="Q38" s="679">
        <f t="shared" ref="Q38:Q43" si="0">+P38*(1+$P$32)</f>
        <v>555.05295228944476</v>
      </c>
    </row>
    <row r="39" spans="12:18" ht="13.6" customHeight="1">
      <c r="L39" s="629" t="s">
        <v>663</v>
      </c>
      <c r="M39" s="635">
        <v>930</v>
      </c>
      <c r="N39" s="633">
        <f>+M39*(1+$M$32)</f>
        <v>968.03699999999992</v>
      </c>
      <c r="O39" s="633">
        <f>+N39*(1+$N$32)</f>
        <v>998.82057659999998</v>
      </c>
      <c r="P39" s="680">
        <f>+O39*(1+$O$32)</f>
        <v>1036.7757585108</v>
      </c>
      <c r="Q39" s="679">
        <f t="shared" si="0"/>
        <v>1053.4678482228239</v>
      </c>
    </row>
    <row r="40" spans="12:18" ht="13.6" customHeight="1">
      <c r="L40" s="629" t="s">
        <v>18</v>
      </c>
      <c r="M40" s="635">
        <v>469</v>
      </c>
      <c r="N40" s="633">
        <f>+M40*(1+$M$32)</f>
        <v>488.18209999999999</v>
      </c>
      <c r="O40" s="633">
        <f>+N40*(1+$N$32)</f>
        <v>503.70629078000002</v>
      </c>
      <c r="P40" s="680">
        <f>+O40*(1+$O$32)</f>
        <v>522.84712982964004</v>
      </c>
      <c r="Q40" s="679">
        <v>531.27</v>
      </c>
      <c r="R40" s="671"/>
    </row>
    <row r="41" spans="12:18" ht="13.6" customHeight="1">
      <c r="L41" s="629" t="s">
        <v>664</v>
      </c>
      <c r="M41" s="635">
        <v>490</v>
      </c>
      <c r="N41" s="633">
        <f>+M41*(1+$M$32)</f>
        <v>510.041</v>
      </c>
      <c r="O41" s="633">
        <f>+N41*(1+$N$32)</f>
        <v>526.26030379999997</v>
      </c>
      <c r="P41" s="680">
        <f>+O41*(1+$O$32)</f>
        <v>546.25819534439995</v>
      </c>
      <c r="Q41" s="679">
        <f t="shared" si="0"/>
        <v>555.05295228944476</v>
      </c>
    </row>
    <row r="42" spans="12:18" ht="13.6" customHeight="1">
      <c r="L42" s="629" t="s">
        <v>331</v>
      </c>
      <c r="M42" s="635"/>
      <c r="N42" s="633">
        <v>478.42</v>
      </c>
      <c r="O42" s="633">
        <v>493.63</v>
      </c>
      <c r="P42" s="680">
        <v>512.39</v>
      </c>
      <c r="Q42" s="679">
        <f t="shared" si="0"/>
        <v>520.63947899999994</v>
      </c>
    </row>
    <row r="43" spans="12:18" ht="13.6" customHeight="1">
      <c r="L43" s="630" t="s">
        <v>669</v>
      </c>
      <c r="M43" s="635"/>
      <c r="N43" s="633">
        <v>622.20000000000005</v>
      </c>
      <c r="O43" s="633">
        <v>641.99</v>
      </c>
      <c r="P43" s="680">
        <v>666.38</v>
      </c>
      <c r="Q43" s="679">
        <f t="shared" si="0"/>
        <v>677.10871799999995</v>
      </c>
    </row>
    <row r="44" spans="12:18">
      <c r="O44" s="633"/>
    </row>
    <row r="45" spans="12:18">
      <c r="L45" s="677" t="s">
        <v>701</v>
      </c>
      <c r="M45" s="677"/>
      <c r="N45" s="677"/>
      <c r="O45" s="677"/>
      <c r="P45" s="678"/>
    </row>
    <row r="46" spans="12:18">
      <c r="P46" s="619"/>
    </row>
    <row r="47" spans="12:18" ht="13.1">
      <c r="L47" s="625" t="s">
        <v>675</v>
      </c>
      <c r="M47" s="626"/>
      <c r="N47" s="626"/>
      <c r="O47" s="626"/>
      <c r="P47" s="627"/>
      <c r="Q47" s="659" t="s">
        <v>688</v>
      </c>
    </row>
    <row r="48" spans="12:18">
      <c r="P48" s="619"/>
    </row>
    <row r="49" spans="12:17" ht="13.1">
      <c r="L49" s="638" t="s">
        <v>668</v>
      </c>
      <c r="M49" s="761" t="s">
        <v>665</v>
      </c>
      <c r="N49" s="759"/>
      <c r="O49" s="759"/>
      <c r="P49" s="759"/>
    </row>
    <row r="50" spans="12:17" ht="13.1">
      <c r="L50" s="637" t="s">
        <v>667</v>
      </c>
      <c r="M50" s="631">
        <v>2017</v>
      </c>
      <c r="N50" s="631">
        <v>2018</v>
      </c>
      <c r="O50" s="631">
        <v>2019</v>
      </c>
      <c r="P50" s="631">
        <v>2020</v>
      </c>
      <c r="Q50" s="634">
        <v>2021</v>
      </c>
    </row>
    <row r="51" spans="12:17">
      <c r="L51" s="629" t="s">
        <v>662</v>
      </c>
      <c r="M51" s="632">
        <v>965.24</v>
      </c>
      <c r="N51" s="633">
        <f>+M51*(1+$M$32)</f>
        <v>1004.718316</v>
      </c>
      <c r="O51" s="633">
        <f>+N51*(1+$N$32)</f>
        <v>1036.6683584488001</v>
      </c>
      <c r="P51" s="633">
        <f>+O51*(1+$O$32)</f>
        <v>1076.0617560698545</v>
      </c>
      <c r="Q51" s="679">
        <v>1093.3800000000001</v>
      </c>
    </row>
    <row r="52" spans="12:17">
      <c r="L52" s="630" t="s">
        <v>663</v>
      </c>
      <c r="M52" s="632">
        <v>1021.31</v>
      </c>
      <c r="N52" s="652">
        <f>+M52*(1+$M$32)</f>
        <v>1063.0815789999999</v>
      </c>
      <c r="O52" s="633">
        <f>+N52*(1+$N$32)</f>
        <v>1096.8875732121999</v>
      </c>
      <c r="P52" s="633">
        <f>+O52*(1+$O$32)</f>
        <v>1138.5693009942636</v>
      </c>
      <c r="Q52" s="679">
        <f>+P52*(1+$P$32)</f>
        <v>1156.9002667402713</v>
      </c>
    </row>
    <row r="53" spans="12:17">
      <c r="L53" s="630" t="s">
        <v>18</v>
      </c>
      <c r="M53" s="632">
        <v>639.51</v>
      </c>
      <c r="N53" s="633">
        <f>+M53*(1+$M$32)</f>
        <v>665.66595899999993</v>
      </c>
      <c r="O53" s="633">
        <f>+N53*(1+$N$32)+0.006</f>
        <v>686.84013649619999</v>
      </c>
      <c r="P53" s="633">
        <f>+O53*(1+$O$32)</f>
        <v>712.94006168305566</v>
      </c>
      <c r="Q53" s="679">
        <f>+P53*(1+$P$32)</f>
        <v>724.41839667615284</v>
      </c>
    </row>
    <row r="55" spans="12:17">
      <c r="L55" s="677" t="s">
        <v>701</v>
      </c>
      <c r="M55" s="677"/>
      <c r="N55" s="677"/>
      <c r="O55" s="677"/>
      <c r="P55" s="678"/>
    </row>
    <row r="56" spans="12:17">
      <c r="L56" s="619"/>
    </row>
    <row r="58" spans="12:17" ht="13.1">
      <c r="L58" s="625" t="s">
        <v>674</v>
      </c>
      <c r="M58" s="626"/>
      <c r="N58" s="626"/>
      <c r="O58" s="626"/>
      <c r="P58" s="626"/>
      <c r="Q58" s="659" t="s">
        <v>699</v>
      </c>
    </row>
    <row r="59" spans="12:17" ht="13.1">
      <c r="L59" s="624"/>
    </row>
    <row r="60" spans="12:17" ht="13.1">
      <c r="M60" s="757" t="s">
        <v>665</v>
      </c>
      <c r="N60" s="757"/>
      <c r="O60" s="757"/>
      <c r="P60" s="758"/>
    </row>
    <row r="61" spans="12:17" ht="13.1">
      <c r="N61" s="639"/>
      <c r="O61" s="640"/>
      <c r="P61" s="636"/>
    </row>
    <row r="62" spans="12:17" ht="13.1">
      <c r="L62" s="628" t="s">
        <v>667</v>
      </c>
      <c r="M62" s="650">
        <v>2017</v>
      </c>
      <c r="N62" s="651">
        <v>2018</v>
      </c>
      <c r="O62" s="651">
        <v>2019</v>
      </c>
      <c r="P62" s="651">
        <v>2020</v>
      </c>
      <c r="Q62" s="634">
        <v>2021</v>
      </c>
    </row>
    <row r="63" spans="12:17">
      <c r="L63" s="629" t="s">
        <v>671</v>
      </c>
      <c r="M63" s="643">
        <v>29</v>
      </c>
      <c r="N63" s="644">
        <v>30</v>
      </c>
      <c r="O63" s="645">
        <v>32</v>
      </c>
      <c r="P63" s="645">
        <v>33</v>
      </c>
      <c r="Q63" s="645">
        <v>34</v>
      </c>
    </row>
    <row r="64" spans="12:17">
      <c r="L64" s="629" t="s">
        <v>672</v>
      </c>
      <c r="M64" s="643">
        <v>95</v>
      </c>
      <c r="N64" s="644">
        <v>100</v>
      </c>
      <c r="O64" s="645">
        <v>104</v>
      </c>
      <c r="P64" s="645">
        <v>109</v>
      </c>
      <c r="Q64" s="645">
        <v>112</v>
      </c>
    </row>
    <row r="65" spans="12:17">
      <c r="L65" s="629" t="s">
        <v>662</v>
      </c>
      <c r="M65" s="646">
        <v>135</v>
      </c>
      <c r="N65" s="647">
        <v>142</v>
      </c>
      <c r="O65" s="648">
        <v>148</v>
      </c>
      <c r="P65" s="649">
        <v>155</v>
      </c>
      <c r="Q65" s="649">
        <v>159</v>
      </c>
    </row>
    <row r="66" spans="12:17">
      <c r="L66" s="629" t="s">
        <v>670</v>
      </c>
      <c r="M66" s="643">
        <v>148</v>
      </c>
      <c r="N66" s="644">
        <v>156</v>
      </c>
      <c r="O66" s="645">
        <v>162</v>
      </c>
      <c r="P66" s="645">
        <v>170</v>
      </c>
      <c r="Q66" s="645">
        <v>174</v>
      </c>
    </row>
    <row r="67" spans="12:17">
      <c r="L67" s="629" t="s">
        <v>18</v>
      </c>
      <c r="M67" s="646">
        <v>152</v>
      </c>
      <c r="N67" s="647">
        <v>160</v>
      </c>
      <c r="O67" s="648">
        <v>166</v>
      </c>
      <c r="P67" s="649">
        <v>174</v>
      </c>
      <c r="Q67" s="649">
        <v>179</v>
      </c>
    </row>
    <row r="68" spans="12:17">
      <c r="L68" s="629" t="s">
        <v>315</v>
      </c>
      <c r="M68" s="643">
        <v>177</v>
      </c>
      <c r="N68" s="644">
        <v>186</v>
      </c>
      <c r="O68" s="645">
        <v>194</v>
      </c>
      <c r="P68" s="645">
        <v>203</v>
      </c>
      <c r="Q68" s="645">
        <v>208</v>
      </c>
    </row>
    <row r="69" spans="12:17">
      <c r="L69" s="641" t="s">
        <v>679</v>
      </c>
      <c r="M69" s="642">
        <v>15000</v>
      </c>
      <c r="N69" s="642">
        <v>15764</v>
      </c>
      <c r="O69" s="642">
        <v>16422</v>
      </c>
      <c r="P69" s="642">
        <v>17211</v>
      </c>
      <c r="Q69" s="642">
        <v>17660</v>
      </c>
    </row>
    <row r="70" spans="12:17">
      <c r="N70" s="653"/>
      <c r="O70" s="653"/>
      <c r="P70" s="653"/>
    </row>
    <row r="71" spans="12:17">
      <c r="P71" s="619"/>
    </row>
    <row r="72" spans="12:17">
      <c r="L72" s="619" t="s">
        <v>676</v>
      </c>
    </row>
    <row r="73" spans="12:17">
      <c r="L73" s="620" t="s">
        <v>680</v>
      </c>
    </row>
    <row r="74" spans="12:17">
      <c r="L74" s="619" t="s">
        <v>678</v>
      </c>
    </row>
    <row r="75" spans="12:17">
      <c r="L75" s="619" t="s">
        <v>677</v>
      </c>
    </row>
    <row r="79" spans="12:17" ht="13.1">
      <c r="L79" s="625" t="s">
        <v>690</v>
      </c>
      <c r="M79" s="626"/>
      <c r="N79" s="626"/>
      <c r="O79" s="626"/>
      <c r="P79" s="626"/>
    </row>
    <row r="81" spans="12:12">
      <c r="L81" s="619" t="s">
        <v>691</v>
      </c>
    </row>
    <row r="98" spans="12:18" ht="13.1">
      <c r="L98" s="625" t="s">
        <v>693</v>
      </c>
      <c r="M98" s="626"/>
      <c r="N98" s="626"/>
      <c r="O98" s="626"/>
      <c r="P98" s="626"/>
    </row>
    <row r="100" spans="12:18">
      <c r="L100" s="619" t="s">
        <v>694</v>
      </c>
    </row>
    <row r="103" spans="12:18" ht="13.1">
      <c r="L103" s="628" t="s">
        <v>667</v>
      </c>
      <c r="M103" s="650">
        <v>2014</v>
      </c>
      <c r="N103" s="651">
        <v>2017</v>
      </c>
      <c r="O103" s="651">
        <v>2018</v>
      </c>
      <c r="P103" s="651">
        <v>2019</v>
      </c>
      <c r="Q103" s="631">
        <v>2020</v>
      </c>
      <c r="R103" s="631">
        <v>2020</v>
      </c>
    </row>
    <row r="104" spans="12:18">
      <c r="L104" s="629" t="s">
        <v>695</v>
      </c>
      <c r="M104" s="666">
        <v>6.82</v>
      </c>
      <c r="N104" s="644"/>
      <c r="O104" s="644"/>
      <c r="P104" s="645"/>
      <c r="Q104" s="645"/>
      <c r="R104" s="669"/>
    </row>
    <row r="105" spans="12:18">
      <c r="L105" s="629" t="s">
        <v>696</v>
      </c>
      <c r="M105" s="666">
        <v>3.7</v>
      </c>
      <c r="N105" s="667"/>
      <c r="O105" s="667"/>
      <c r="P105" s="668"/>
      <c r="Q105" s="668"/>
      <c r="R105" s="670"/>
    </row>
    <row r="106" spans="12:18">
      <c r="L106" s="629" t="s">
        <v>697</v>
      </c>
      <c r="M106" s="667"/>
      <c r="N106" s="667">
        <v>7.45</v>
      </c>
      <c r="O106" s="667">
        <f>7.45*(1+3%)</f>
        <v>7.6735000000000007</v>
      </c>
      <c r="P106" s="667">
        <f>+O106*(1+3%)</f>
        <v>7.9037050000000013</v>
      </c>
      <c r="Q106" s="672">
        <f>+P106*(1+3%)</f>
        <v>8.1408161500000009</v>
      </c>
      <c r="R106" s="660">
        <f>+ROUND(Q106,2)*(1+3%)</f>
        <v>8.3842000000000017</v>
      </c>
    </row>
    <row r="107" spans="12:18">
      <c r="L107" s="629"/>
      <c r="M107" s="666"/>
      <c r="N107" s="667"/>
      <c r="O107" s="667"/>
      <c r="P107" s="667"/>
      <c r="Q107" s="668"/>
      <c r="R107" s="670"/>
    </row>
    <row r="108" spans="12:18">
      <c r="Q108" s="671">
        <f>8.1408*1.03</f>
        <v>8.3850240000000014</v>
      </c>
    </row>
    <row r="109" spans="12:18">
      <c r="N109" s="671"/>
    </row>
    <row r="112" spans="12:18" ht="13.1">
      <c r="L112" s="624" t="s">
        <v>705</v>
      </c>
    </row>
    <row r="113" spans="12:12">
      <c r="L113" s="695" t="s">
        <v>704</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794" t="s">
        <v>67</v>
      </c>
      <c r="AB1" s="794"/>
      <c r="AC1" s="794"/>
      <c r="AD1" s="794" t="s">
        <v>68</v>
      </c>
      <c r="AE1" s="794"/>
      <c r="AF1" s="794"/>
      <c r="AG1" s="794" t="s">
        <v>166</v>
      </c>
      <c r="AH1" s="794"/>
      <c r="AI1" s="794"/>
      <c r="AJ1" s="794" t="s">
        <v>192</v>
      </c>
      <c r="AK1" s="794"/>
      <c r="AL1" s="794"/>
      <c r="AM1" s="186"/>
      <c r="AN1" s="796" t="s">
        <v>266</v>
      </c>
      <c r="AO1" s="796"/>
      <c r="AP1" s="796"/>
      <c r="AQ1" s="186"/>
      <c r="AR1" s="775" t="s">
        <v>285</v>
      </c>
      <c r="AS1" s="776"/>
      <c r="AT1" s="777"/>
      <c r="AU1" s="775" t="s">
        <v>287</v>
      </c>
      <c r="AV1" s="776"/>
      <c r="AW1" s="777"/>
      <c r="AX1" s="775" t="s">
        <v>301</v>
      </c>
      <c r="AY1" s="776"/>
      <c r="AZ1" s="777"/>
      <c r="BA1" s="775" t="s">
        <v>317</v>
      </c>
      <c r="BB1" s="776"/>
      <c r="BC1" s="777"/>
      <c r="BD1" s="775" t="s">
        <v>558</v>
      </c>
      <c r="BE1" s="776"/>
      <c r="BF1" s="777"/>
      <c r="BG1" s="775" t="s">
        <v>565</v>
      </c>
      <c r="BH1" s="776"/>
      <c r="BI1" s="777"/>
    </row>
    <row r="2" spans="1:61" ht="15.05" customHeight="1">
      <c r="A2" s="789" t="s">
        <v>69</v>
      </c>
      <c r="B2" s="790"/>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797" t="s">
        <v>72</v>
      </c>
      <c r="AO2" s="798"/>
      <c r="AP2" s="801">
        <v>0.03</v>
      </c>
      <c r="AQ2" s="411"/>
      <c r="AR2" s="778" t="s">
        <v>72</v>
      </c>
      <c r="AS2" s="779"/>
      <c r="AT2" s="782">
        <v>0.03</v>
      </c>
      <c r="AU2" s="778" t="s">
        <v>72</v>
      </c>
      <c r="AV2" s="779"/>
      <c r="AW2" s="782">
        <v>0.03</v>
      </c>
      <c r="AX2" s="778" t="s">
        <v>72</v>
      </c>
      <c r="AY2" s="779"/>
      <c r="AZ2" s="782">
        <v>0.03</v>
      </c>
      <c r="BA2" s="778" t="s">
        <v>72</v>
      </c>
      <c r="BB2" s="779"/>
      <c r="BC2" s="782">
        <v>0.03</v>
      </c>
      <c r="BD2" s="778" t="s">
        <v>72</v>
      </c>
      <c r="BE2" s="779"/>
      <c r="BF2" s="782">
        <v>0.03</v>
      </c>
      <c r="BG2" s="778" t="s">
        <v>72</v>
      </c>
      <c r="BH2" s="779"/>
      <c r="BI2" s="782">
        <v>0.03</v>
      </c>
    </row>
    <row r="3" spans="1:61" ht="55.65" customHeight="1" thickBot="1">
      <c r="A3" s="791"/>
      <c r="B3" s="792"/>
      <c r="C3" s="786" t="s">
        <v>73</v>
      </c>
      <c r="D3" s="787"/>
      <c r="E3" s="788"/>
      <c r="F3" s="786" t="s">
        <v>74</v>
      </c>
      <c r="G3" s="787"/>
      <c r="H3" s="788"/>
      <c r="I3" s="786" t="s">
        <v>75</v>
      </c>
      <c r="J3" s="787"/>
      <c r="K3" s="788"/>
      <c r="L3" s="786" t="s">
        <v>76</v>
      </c>
      <c r="M3" s="787"/>
      <c r="N3" s="788"/>
      <c r="O3" s="786" t="s">
        <v>77</v>
      </c>
      <c r="P3" s="787"/>
      <c r="Q3" s="788"/>
      <c r="R3" s="786" t="s">
        <v>78</v>
      </c>
      <c r="S3" s="787"/>
      <c r="T3" s="788"/>
      <c r="U3" s="786" t="s">
        <v>79</v>
      </c>
      <c r="V3" s="787"/>
      <c r="W3" s="788"/>
      <c r="X3" s="786" t="s">
        <v>80</v>
      </c>
      <c r="Y3" s="787"/>
      <c r="Z3" s="788"/>
      <c r="AA3" s="786"/>
      <c r="AB3" s="787"/>
      <c r="AC3" s="788"/>
      <c r="AD3" s="786"/>
      <c r="AE3" s="787"/>
      <c r="AF3" s="788"/>
      <c r="AG3" s="786"/>
      <c r="AH3" s="787"/>
      <c r="AI3" s="788"/>
      <c r="AJ3" s="786"/>
      <c r="AK3" s="787"/>
      <c r="AL3" s="788"/>
      <c r="AM3" s="375"/>
      <c r="AN3" s="799"/>
      <c r="AO3" s="800"/>
      <c r="AP3" s="802"/>
      <c r="AQ3" s="412"/>
      <c r="AR3" s="780"/>
      <c r="AS3" s="781"/>
      <c r="AT3" s="783"/>
      <c r="AU3" s="780"/>
      <c r="AV3" s="781"/>
      <c r="AW3" s="783"/>
      <c r="AX3" s="780"/>
      <c r="AY3" s="781"/>
      <c r="AZ3" s="783"/>
      <c r="BA3" s="780"/>
      <c r="BB3" s="781"/>
      <c r="BC3" s="783"/>
      <c r="BD3" s="780"/>
      <c r="BE3" s="781"/>
      <c r="BF3" s="783"/>
      <c r="BG3" s="780"/>
      <c r="BH3" s="781"/>
      <c r="BI3" s="783"/>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784" t="s">
        <v>269</v>
      </c>
      <c r="AO72" s="784"/>
      <c r="AP72" s="785"/>
      <c r="AQ72" s="370" t="s">
        <v>129</v>
      </c>
      <c r="AR72" s="784" t="s">
        <v>269</v>
      </c>
      <c r="AS72" s="784"/>
      <c r="AT72" s="785"/>
      <c r="AU72" s="784" t="s">
        <v>269</v>
      </c>
      <c r="AV72" s="784"/>
      <c r="AW72" s="785"/>
      <c r="AX72" s="784" t="s">
        <v>269</v>
      </c>
      <c r="AY72" s="784"/>
      <c r="AZ72" s="785"/>
      <c r="BA72" s="784" t="s">
        <v>269</v>
      </c>
      <c r="BB72" s="784"/>
      <c r="BC72" s="785"/>
      <c r="BD72" s="784" t="s">
        <v>269</v>
      </c>
      <c r="BE72" s="784"/>
      <c r="BF72" s="785"/>
      <c r="BG72" s="784" t="s">
        <v>269</v>
      </c>
      <c r="BH72" s="784"/>
      <c r="BI72" s="785"/>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771" t="s">
        <v>270</v>
      </c>
      <c r="AO74" s="771"/>
      <c r="AP74" s="772"/>
      <c r="AQ74" s="371" t="s">
        <v>140</v>
      </c>
      <c r="AR74" s="771"/>
      <c r="AS74" s="771"/>
      <c r="AT74" s="772"/>
      <c r="AU74" s="771"/>
      <c r="AV74" s="771"/>
      <c r="AW74" s="772"/>
      <c r="AX74" s="771"/>
      <c r="AY74" s="771"/>
      <c r="AZ74" s="772"/>
      <c r="BA74" s="771"/>
      <c r="BB74" s="771"/>
      <c r="BC74" s="772"/>
      <c r="BD74" s="771"/>
      <c r="BE74" s="771"/>
      <c r="BF74" s="772"/>
      <c r="BG74" s="771"/>
      <c r="BH74" s="771"/>
      <c r="BI74" s="772"/>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62"/>
      <c r="AO76" s="763"/>
      <c r="AP76" s="764"/>
      <c r="AQ76" s="371" t="s">
        <v>140</v>
      </c>
      <c r="AR76" s="762"/>
      <c r="AS76" s="763"/>
      <c r="AT76" s="764"/>
      <c r="AU76" s="762"/>
      <c r="AV76" s="763"/>
      <c r="AW76" s="764"/>
      <c r="AX76" s="762"/>
      <c r="AY76" s="763"/>
      <c r="AZ76" s="764"/>
      <c r="BA76" s="762"/>
      <c r="BB76" s="763"/>
      <c r="BC76" s="764"/>
      <c r="BD76" s="762"/>
      <c r="BE76" s="763"/>
      <c r="BF76" s="764"/>
      <c r="BG76" s="762"/>
      <c r="BH76" s="763"/>
      <c r="BI76" s="764"/>
    </row>
    <row r="77" spans="1:61" ht="13.1">
      <c r="A77" s="287" t="s">
        <v>150</v>
      </c>
      <c r="B77" s="188"/>
      <c r="C77" s="188"/>
      <c r="D77" s="188"/>
      <c r="E77" s="188"/>
      <c r="F77" s="259"/>
      <c r="G77" s="188"/>
      <c r="H77" s="188"/>
      <c r="I77" s="188"/>
      <c r="J77" s="188"/>
      <c r="K77" s="188"/>
      <c r="L77" s="188"/>
      <c r="M77" s="188"/>
      <c r="N77" s="188"/>
      <c r="O77" s="188"/>
      <c r="P77" s="188"/>
      <c r="Q77" s="188"/>
      <c r="AM77" s="372" t="s">
        <v>143</v>
      </c>
      <c r="AN77" s="765"/>
      <c r="AO77" s="766"/>
      <c r="AP77" s="767"/>
      <c r="AQ77" s="372" t="s">
        <v>143</v>
      </c>
      <c r="AR77" s="765"/>
      <c r="AS77" s="766"/>
      <c r="AT77" s="767"/>
      <c r="AU77" s="765"/>
      <c r="AV77" s="766"/>
      <c r="AW77" s="767"/>
      <c r="AX77" s="765"/>
      <c r="AY77" s="766"/>
      <c r="AZ77" s="767"/>
      <c r="BA77" s="765"/>
      <c r="BB77" s="766"/>
      <c r="BC77" s="767"/>
      <c r="BD77" s="765"/>
      <c r="BE77" s="766"/>
      <c r="BF77" s="767"/>
      <c r="BG77" s="765"/>
      <c r="BH77" s="766"/>
      <c r="BI77" s="767"/>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68"/>
      <c r="AO78" s="769"/>
      <c r="AP78" s="770"/>
      <c r="AQ78" s="371" t="s">
        <v>146</v>
      </c>
      <c r="AR78" s="768"/>
      <c r="AS78" s="769"/>
      <c r="AT78" s="770"/>
      <c r="AU78" s="768"/>
      <c r="AV78" s="769"/>
      <c r="AW78" s="770"/>
      <c r="AX78" s="768"/>
      <c r="AY78" s="769"/>
      <c r="AZ78" s="770"/>
      <c r="BA78" s="768"/>
      <c r="BB78" s="769"/>
      <c r="BC78" s="770"/>
      <c r="BD78" s="768"/>
      <c r="BE78" s="769"/>
      <c r="BF78" s="770"/>
      <c r="BG78" s="768"/>
      <c r="BH78" s="769"/>
      <c r="BI78" s="770"/>
    </row>
    <row r="79" spans="1:61" ht="13.1">
      <c r="A79" s="284"/>
      <c r="B79" s="188"/>
      <c r="C79" s="188"/>
      <c r="D79" s="188"/>
      <c r="E79" s="188"/>
      <c r="F79" s="188"/>
      <c r="G79" s="188"/>
      <c r="H79" s="188"/>
      <c r="I79" s="188"/>
      <c r="J79" s="188"/>
      <c r="K79" s="188"/>
      <c r="L79" s="188"/>
      <c r="M79" s="188"/>
      <c r="N79" s="188"/>
      <c r="O79" s="188"/>
      <c r="P79" s="188"/>
      <c r="Q79" s="188"/>
      <c r="AC79" s="268"/>
      <c r="AM79" s="371" t="s">
        <v>129</v>
      </c>
      <c r="AN79" s="771" t="s">
        <v>270</v>
      </c>
      <c r="AO79" s="771"/>
      <c r="AP79" s="772"/>
      <c r="AQ79" s="371" t="s">
        <v>129</v>
      </c>
      <c r="AR79" s="771"/>
      <c r="AS79" s="771"/>
      <c r="AT79" s="772"/>
      <c r="AU79" s="771"/>
      <c r="AV79" s="771"/>
      <c r="AW79" s="772"/>
      <c r="AX79" s="771"/>
      <c r="AY79" s="771"/>
      <c r="AZ79" s="772"/>
      <c r="BA79" s="771"/>
      <c r="BB79" s="771"/>
      <c r="BC79" s="772"/>
      <c r="BD79" s="771"/>
      <c r="BE79" s="771"/>
      <c r="BF79" s="772"/>
      <c r="BG79" s="771"/>
      <c r="BH79" s="771"/>
      <c r="BI79" s="772"/>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795" t="s">
        <v>152</v>
      </c>
      <c r="AA81" s="795"/>
      <c r="AD81" s="795" t="s">
        <v>153</v>
      </c>
      <c r="AE81" s="795"/>
      <c r="AG81" s="795" t="s">
        <v>199</v>
      </c>
      <c r="AH81" s="795"/>
      <c r="AJ81" s="795" t="s">
        <v>199</v>
      </c>
      <c r="AK81" s="795"/>
      <c r="AM81" s="373" t="s">
        <v>149</v>
      </c>
      <c r="AN81" s="397">
        <v>60.636068751069253</v>
      </c>
      <c r="AO81" s="773"/>
      <c r="AP81" s="774"/>
      <c r="AQ81" s="373" t="s">
        <v>149</v>
      </c>
      <c r="AR81" s="397">
        <f>AN81*(1+$AT$71)</f>
        <v>61.812408484839999</v>
      </c>
      <c r="AS81" s="773"/>
      <c r="AT81" s="774"/>
      <c r="AU81" s="397">
        <f>AR81*(1+$AW$71)</f>
        <v>64.074742635385135</v>
      </c>
      <c r="AV81" s="773"/>
      <c r="AW81" s="774"/>
      <c r="AX81" s="397">
        <f>AU81*(1+$AZ$71)</f>
        <v>68.412602711800716</v>
      </c>
      <c r="AY81" s="773"/>
      <c r="AZ81" s="774"/>
      <c r="BA81" s="397">
        <f>AX81*(1+$BC$71)</f>
        <v>72.346327367729259</v>
      </c>
      <c r="BB81" s="773"/>
      <c r="BC81" s="774"/>
      <c r="BD81" s="397">
        <f>BA81*(1+$BC$71)</f>
        <v>76.506241191373704</v>
      </c>
      <c r="BE81" s="773"/>
      <c r="BF81" s="774"/>
      <c r="BG81" s="397">
        <f>BD81*(1+$BC$71)</f>
        <v>80.905350059877705</v>
      </c>
      <c r="BH81" s="773"/>
      <c r="BI81" s="774"/>
    </row>
    <row r="82" spans="1:61">
      <c r="A82" s="188"/>
      <c r="B82" s="188"/>
      <c r="C82" s="188"/>
      <c r="D82" s="188"/>
      <c r="E82" s="188"/>
      <c r="F82" s="188"/>
      <c r="G82" s="188"/>
      <c r="H82" s="188"/>
      <c r="I82" s="188"/>
      <c r="J82" s="188"/>
      <c r="K82" s="188"/>
      <c r="L82" s="188"/>
      <c r="M82" s="188"/>
      <c r="N82" s="188"/>
      <c r="O82" s="188"/>
      <c r="P82" s="188"/>
      <c r="Q82" s="188"/>
      <c r="Z82" s="795"/>
      <c r="AA82" s="795"/>
      <c r="AD82" s="795"/>
      <c r="AE82" s="795"/>
      <c r="AG82" s="795"/>
      <c r="AH82" s="795"/>
      <c r="AJ82" s="795"/>
      <c r="AK82" s="795"/>
    </row>
    <row r="83" spans="1:61" ht="83.3" customHeight="1">
      <c r="A83" s="188"/>
      <c r="B83" s="188"/>
      <c r="C83" s="188"/>
      <c r="D83" s="188"/>
      <c r="E83" s="188"/>
      <c r="F83" s="188"/>
      <c r="G83" s="188"/>
      <c r="H83" s="188"/>
      <c r="I83" s="188"/>
      <c r="J83" s="188"/>
      <c r="K83" s="188"/>
      <c r="L83" s="188"/>
      <c r="M83" s="188"/>
      <c r="N83" s="188"/>
      <c r="O83" s="188"/>
      <c r="P83" s="188"/>
      <c r="Q83" s="188"/>
      <c r="Z83" s="793" t="s">
        <v>154</v>
      </c>
      <c r="AA83" s="793"/>
      <c r="AD83" s="793" t="s">
        <v>155</v>
      </c>
      <c r="AE83" s="793"/>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793"/>
      <c r="AE84" s="793"/>
    </row>
    <row r="85" spans="1:61">
      <c r="A85" s="188"/>
      <c r="B85" s="188"/>
      <c r="C85" s="188"/>
      <c r="D85" s="188"/>
      <c r="E85" s="188"/>
      <c r="F85" s="188"/>
      <c r="G85" s="188"/>
      <c r="H85" s="188"/>
      <c r="I85" s="188"/>
      <c r="J85" s="188"/>
      <c r="K85" s="188"/>
      <c r="L85" s="188"/>
      <c r="M85" s="188"/>
      <c r="N85" s="188"/>
      <c r="O85" s="188"/>
      <c r="P85" s="188"/>
      <c r="Q85" s="188"/>
      <c r="AD85" s="793"/>
      <c r="AE85" s="793"/>
    </row>
    <row r="86" spans="1:61">
      <c r="A86" s="188"/>
      <c r="B86" s="188"/>
      <c r="C86" s="188"/>
      <c r="D86" s="188"/>
      <c r="E86" s="188"/>
      <c r="F86" s="188"/>
      <c r="G86" s="188"/>
      <c r="H86" s="188"/>
      <c r="I86" s="188"/>
      <c r="J86" s="188"/>
      <c r="K86" s="188"/>
      <c r="L86" s="188"/>
      <c r="M86" s="188"/>
      <c r="N86" s="188"/>
      <c r="O86" s="188"/>
      <c r="P86" s="188"/>
      <c r="Q86" s="188"/>
      <c r="AD86" s="793"/>
      <c r="AE86" s="793"/>
    </row>
    <row r="87" spans="1:61">
      <c r="A87" s="188"/>
      <c r="B87" s="188"/>
      <c r="C87" s="188"/>
      <c r="D87" s="188"/>
      <c r="E87" s="188"/>
      <c r="F87" s="188"/>
      <c r="G87" s="188"/>
      <c r="H87" s="188"/>
      <c r="I87" s="188"/>
      <c r="J87" s="188"/>
      <c r="K87" s="188"/>
      <c r="L87" s="188"/>
      <c r="M87" s="188"/>
      <c r="N87" s="188"/>
      <c r="O87" s="188"/>
      <c r="P87" s="188"/>
      <c r="Q87" s="188"/>
      <c r="AD87" s="793"/>
      <c r="AE87" s="793"/>
    </row>
    <row r="88" spans="1:61">
      <c r="A88" s="188"/>
      <c r="B88" s="188"/>
      <c r="C88" s="188"/>
      <c r="D88" s="188"/>
      <c r="E88" s="188"/>
      <c r="F88" s="188"/>
      <c r="G88" s="188"/>
      <c r="H88" s="188"/>
      <c r="I88" s="188"/>
      <c r="J88" s="188"/>
      <c r="K88" s="188"/>
      <c r="L88" s="188"/>
      <c r="M88" s="188"/>
      <c r="N88" s="188"/>
      <c r="O88" s="188"/>
      <c r="P88" s="188"/>
      <c r="Q88" s="188"/>
      <c r="AD88" s="793"/>
      <c r="AE88" s="793"/>
    </row>
    <row r="89" spans="1:61">
      <c r="A89" s="188"/>
      <c r="B89" s="188"/>
      <c r="C89" s="188"/>
      <c r="D89" s="188"/>
      <c r="E89" s="188"/>
      <c r="F89" s="188"/>
      <c r="G89" s="188"/>
      <c r="H89" s="188"/>
      <c r="I89" s="188"/>
      <c r="J89" s="188"/>
      <c r="K89" s="188"/>
      <c r="L89" s="188"/>
      <c r="M89" s="188"/>
      <c r="N89" s="188"/>
      <c r="O89" s="188"/>
      <c r="P89" s="188"/>
      <c r="Q89" s="188"/>
      <c r="AD89" s="793"/>
      <c r="AE89" s="793"/>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7"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zoomScale="70" zoomScaleNormal="70" workbookViewId="0">
      <selection activeCell="V13" sqref="V13"/>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9.75" style="301" customWidth="1" outlineLevel="1"/>
    <col min="7" max="7" width="21" style="1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c r="A1" s="685" t="s">
        <v>730</v>
      </c>
      <c r="B1" s="1"/>
      <c r="C1" s="1">
        <v>7.2405999999999997</v>
      </c>
      <c r="D1" s="3"/>
      <c r="E1" s="4"/>
      <c r="F1" s="4"/>
      <c r="G1" s="2"/>
      <c r="H1" s="2"/>
    </row>
    <row r="2" spans="1:20" s="55" customFormat="1" ht="21.8" customHeight="1">
      <c r="A2" s="809" t="str">
        <f>CONCATENATE("ESTRUCTURAS DE PRECIOS DE COMBUSTIBLES LIQUIDOS VIGENTES A PARTIR DE ",$A$1)</f>
        <v>ESTRUCTURAS DE PRECIOS DE COMBUSTIBLES LIQUIDOS VIGENTES A PARTIR DE 01 DE JULIO 2021</v>
      </c>
      <c r="B2" s="809"/>
      <c r="C2" s="809"/>
      <c r="D2" s="809"/>
      <c r="E2" s="809"/>
      <c r="F2" s="809"/>
      <c r="G2" s="809"/>
      <c r="H2" s="586"/>
      <c r="I2" s="587"/>
    </row>
    <row r="3" spans="1:20" s="55" customFormat="1" ht="21.8" customHeight="1">
      <c r="A3" s="314" t="s">
        <v>0</v>
      </c>
      <c r="B3" s="178"/>
      <c r="C3" s="178"/>
      <c r="D3" s="178"/>
      <c r="E3" s="178"/>
      <c r="F3" s="178"/>
      <c r="G3" s="178"/>
      <c r="H3" s="584"/>
      <c r="I3" s="315"/>
      <c r="K3" s="655"/>
      <c r="M3" s="708"/>
    </row>
    <row r="4" spans="1:20" s="49" customFormat="1" ht="23.9" customHeight="1">
      <c r="A4" s="814" t="s">
        <v>1</v>
      </c>
      <c r="B4" s="816" t="s">
        <v>25</v>
      </c>
      <c r="C4" s="818" t="s">
        <v>10</v>
      </c>
      <c r="D4" s="819"/>
      <c r="E4" s="816" t="s">
        <v>634</v>
      </c>
      <c r="F4" s="818" t="s">
        <v>633</v>
      </c>
      <c r="G4" s="820"/>
      <c r="H4" s="818" t="s">
        <v>633</v>
      </c>
      <c r="I4" s="820"/>
      <c r="J4" s="654"/>
      <c r="K4" s="654"/>
      <c r="M4" s="707"/>
    </row>
    <row r="5" spans="1:20" s="49" customFormat="1" ht="30.15" customHeight="1">
      <c r="A5" s="814"/>
      <c r="B5" s="817"/>
      <c r="C5" s="62" t="s">
        <v>51</v>
      </c>
      <c r="D5" s="62" t="s">
        <v>52</v>
      </c>
      <c r="E5" s="817"/>
      <c r="F5" s="316" t="s">
        <v>637</v>
      </c>
      <c r="G5" s="316" t="s">
        <v>638</v>
      </c>
      <c r="H5" s="316" t="s">
        <v>645</v>
      </c>
      <c r="I5" s="316" t="s">
        <v>646</v>
      </c>
      <c r="J5" s="654"/>
      <c r="K5" s="662" t="s">
        <v>686</v>
      </c>
    </row>
    <row r="6" spans="1:20" s="49" customFormat="1" ht="23.9" customHeight="1" thickBot="1">
      <c r="A6" s="815"/>
      <c r="B6" s="179" t="str">
        <f>+A1</f>
        <v>01 DE JULIO 2021</v>
      </c>
      <c r="C6" s="179" t="str">
        <f>+B6</f>
        <v>01 DE JULIO 2021</v>
      </c>
      <c r="D6" s="180" t="str">
        <f>+A1</f>
        <v>01 DE JULIO 2021</v>
      </c>
      <c r="E6" s="179" t="str">
        <f>+D6</f>
        <v>01 DE JULIO 2021</v>
      </c>
      <c r="F6" s="317" t="str">
        <f>+E6</f>
        <v>01 DE JULIO 2021</v>
      </c>
      <c r="G6" s="317" t="str">
        <f>+F6</f>
        <v>01 DE JULIO 2021</v>
      </c>
      <c r="H6" s="317" t="str">
        <f>+G6</f>
        <v>01 DE JULIO 2021</v>
      </c>
      <c r="I6" s="317" t="str">
        <f>+F6</f>
        <v>01 DE JULIO 2021</v>
      </c>
      <c r="K6" s="662" t="s">
        <v>684</v>
      </c>
    </row>
    <row r="7" spans="1:20" ht="22.6" customHeight="1" thickTop="1">
      <c r="A7" s="71" t="s">
        <v>3</v>
      </c>
      <c r="B7" s="603">
        <v>4710.3100000000004</v>
      </c>
      <c r="C7" s="713">
        <v>7750</v>
      </c>
      <c r="D7" s="714">
        <f>+C7</f>
        <v>7750</v>
      </c>
      <c r="E7" s="608">
        <v>4115.9399999999996</v>
      </c>
      <c r="F7" s="615">
        <v>10800</v>
      </c>
      <c r="G7" s="616">
        <v>10974.98</v>
      </c>
      <c r="H7" s="615"/>
      <c r="I7" s="616"/>
      <c r="K7" s="656" t="s">
        <v>653</v>
      </c>
    </row>
    <row r="8" spans="1:20" ht="22.6" customHeight="1">
      <c r="A8" s="63" t="s">
        <v>56</v>
      </c>
      <c r="B8" s="603">
        <f>8.14*(1+3%)</f>
        <v>8.3842000000000017</v>
      </c>
      <c r="C8" s="415">
        <f>+B8</f>
        <v>8.3842000000000017</v>
      </c>
      <c r="D8" s="415">
        <f>+C8</f>
        <v>8.3842000000000017</v>
      </c>
      <c r="E8" s="608">
        <f>D8</f>
        <v>8.3842000000000017</v>
      </c>
      <c r="F8" s="519"/>
      <c r="G8" s="524"/>
      <c r="H8" s="515"/>
      <c r="I8" s="593"/>
      <c r="K8" s="656" t="s">
        <v>652</v>
      </c>
      <c r="L8" s="5" t="s">
        <v>698</v>
      </c>
    </row>
    <row r="9" spans="1:20" ht="22.6" customHeight="1">
      <c r="A9" s="63" t="s">
        <v>226</v>
      </c>
      <c r="B9" s="64" t="s">
        <v>11</v>
      </c>
      <c r="C9" s="64" t="s">
        <v>11</v>
      </c>
      <c r="D9" s="64" t="s">
        <v>11</v>
      </c>
      <c r="E9" s="64" t="s">
        <v>11</v>
      </c>
      <c r="F9" s="516" t="s">
        <v>11</v>
      </c>
      <c r="G9" s="525" t="s">
        <v>11</v>
      </c>
      <c r="H9" s="525" t="s">
        <v>11</v>
      </c>
      <c r="I9" s="525" t="s">
        <v>11</v>
      </c>
      <c r="K9" s="719"/>
      <c r="N9" s="602" t="s">
        <v>657</v>
      </c>
    </row>
    <row r="10" spans="1:20" ht="21.8" hidden="1" customHeight="1">
      <c r="A10" s="63" t="s">
        <v>216</v>
      </c>
      <c r="B10" s="608">
        <f>71.51*0</f>
        <v>0</v>
      </c>
      <c r="C10" s="415">
        <f>B10</f>
        <v>0</v>
      </c>
      <c r="D10" s="415">
        <f>B10</f>
        <v>0</v>
      </c>
      <c r="E10" s="608">
        <f>B10</f>
        <v>0</v>
      </c>
      <c r="F10" s="520"/>
      <c r="G10" s="526"/>
      <c r="H10" s="520"/>
      <c r="I10" s="526"/>
      <c r="J10" s="54"/>
      <c r="K10" s="656" t="s">
        <v>652</v>
      </c>
      <c r="L10" s="54"/>
    </row>
    <row r="11" spans="1:20" ht="22.6" customHeight="1">
      <c r="A11" s="63" t="s">
        <v>256</v>
      </c>
      <c r="B11" s="605">
        <f>+Variables!C20</f>
        <v>555.04999999999995</v>
      </c>
      <c r="C11" s="65">
        <f>+Variables!C23</f>
        <v>1053.47</v>
      </c>
      <c r="D11" s="65">
        <f>+ROUND(C11,2)</f>
        <v>1053.47</v>
      </c>
      <c r="E11" s="604">
        <f>+Variables!C27</f>
        <v>531.27</v>
      </c>
      <c r="F11" s="517"/>
      <c r="G11" s="526"/>
      <c r="H11" s="517"/>
      <c r="I11" s="526"/>
      <c r="J11" s="567"/>
      <c r="K11" s="656" t="s">
        <v>652</v>
      </c>
      <c r="L11" s="54"/>
    </row>
    <row r="12" spans="1:20" ht="22.6" customHeight="1">
      <c r="A12" s="63" t="s">
        <v>262</v>
      </c>
      <c r="B12" s="430" t="s">
        <v>326</v>
      </c>
      <c r="C12" s="430" t="s">
        <v>326</v>
      </c>
      <c r="D12" s="430" t="s">
        <v>326</v>
      </c>
      <c r="E12" s="430" t="s">
        <v>326</v>
      </c>
      <c r="F12" s="515" t="s">
        <v>326</v>
      </c>
      <c r="G12" s="526" t="s">
        <v>326</v>
      </c>
      <c r="H12" s="526" t="s">
        <v>326</v>
      </c>
      <c r="I12" s="526" t="s">
        <v>326</v>
      </c>
      <c r="J12" s="54"/>
      <c r="K12" s="54"/>
      <c r="L12" s="54"/>
    </row>
    <row r="13" spans="1:20" ht="22.6" customHeight="1">
      <c r="A13" s="63" t="s">
        <v>305</v>
      </c>
      <c r="B13" s="605">
        <f>+Variables!C46</f>
        <v>159</v>
      </c>
      <c r="C13" s="65">
        <f>+B13</f>
        <v>159</v>
      </c>
      <c r="D13" s="65">
        <f>+C13</f>
        <v>159</v>
      </c>
      <c r="E13" s="604">
        <f>+Variables!C47</f>
        <v>179</v>
      </c>
      <c r="F13" s="517"/>
      <c r="G13" s="526"/>
      <c r="H13" s="515"/>
      <c r="I13" s="526"/>
      <c r="J13" s="54"/>
      <c r="K13" s="656" t="s">
        <v>652</v>
      </c>
      <c r="L13" s="54"/>
    </row>
    <row r="14" spans="1:20" ht="22.6" customHeight="1">
      <c r="A14" s="63" t="s">
        <v>23</v>
      </c>
      <c r="B14" s="64" t="s">
        <v>12</v>
      </c>
      <c r="C14" s="64" t="s">
        <v>12</v>
      </c>
      <c r="D14" s="64" t="s">
        <v>12</v>
      </c>
      <c r="E14" s="64" t="s">
        <v>12</v>
      </c>
      <c r="F14" s="516"/>
      <c r="G14" s="525"/>
      <c r="H14" s="516"/>
      <c r="I14" s="525"/>
      <c r="J14" s="54"/>
      <c r="K14" s="54"/>
      <c r="L14" s="54"/>
    </row>
    <row r="15" spans="1:20" ht="22.6" customHeight="1">
      <c r="A15" s="63" t="s">
        <v>217</v>
      </c>
      <c r="B15" s="64" t="s">
        <v>22</v>
      </c>
      <c r="C15" s="64"/>
      <c r="D15" s="64"/>
      <c r="E15" s="64" t="str">
        <f>+B15</f>
        <v>(***)</v>
      </c>
      <c r="F15" s="521"/>
      <c r="G15" s="527"/>
      <c r="H15" s="520"/>
      <c r="I15" s="527"/>
      <c r="J15" s="568"/>
      <c r="K15" s="54"/>
      <c r="L15" s="54"/>
    </row>
    <row r="16" spans="1:20" ht="22.6" customHeight="1">
      <c r="A16" s="63" t="s">
        <v>720</v>
      </c>
      <c r="B16" s="430" t="s">
        <v>725</v>
      </c>
      <c r="C16" s="430" t="s">
        <v>725</v>
      </c>
      <c r="D16" s="430" t="s">
        <v>725</v>
      </c>
      <c r="E16" s="727">
        <v>301</v>
      </c>
      <c r="F16" s="522" t="s">
        <v>2</v>
      </c>
      <c r="G16" s="528" t="s">
        <v>2</v>
      </c>
      <c r="H16" s="517"/>
      <c r="I16" s="528"/>
      <c r="J16" s="568"/>
      <c r="K16" s="656" t="s">
        <v>652</v>
      </c>
      <c r="L16" s="54">
        <f>5024*0.06</f>
        <v>301.44</v>
      </c>
      <c r="M16" s="5" t="s">
        <v>681</v>
      </c>
      <c r="P16" s="5" t="s">
        <v>682</v>
      </c>
      <c r="Q16" s="5">
        <f>5078.77*0.25</f>
        <v>1269.6925000000001</v>
      </c>
      <c r="S16" s="5" t="s">
        <v>683</v>
      </c>
      <c r="T16" s="54">
        <f>7107.81*0.25</f>
        <v>1776.9525000000001</v>
      </c>
    </row>
    <row r="17" spans="1:13" ht="22.6" customHeight="1">
      <c r="A17" s="63" t="s">
        <v>5</v>
      </c>
      <c r="B17" s="64" t="s">
        <v>12</v>
      </c>
      <c r="C17" s="64" t="s">
        <v>12</v>
      </c>
      <c r="D17" s="64" t="s">
        <v>12</v>
      </c>
      <c r="E17" s="64" t="s">
        <v>12</v>
      </c>
      <c r="F17" s="522" t="s">
        <v>2</v>
      </c>
      <c r="G17" s="528" t="s">
        <v>2</v>
      </c>
      <c r="H17" s="515"/>
      <c r="I17" s="528"/>
      <c r="J17" s="569"/>
      <c r="K17" s="570"/>
      <c r="L17" s="54"/>
    </row>
    <row r="18" spans="1:13" ht="22.6" customHeight="1">
      <c r="A18" s="63" t="s">
        <v>218</v>
      </c>
      <c r="B18" s="64" t="s">
        <v>22</v>
      </c>
      <c r="C18" s="64"/>
      <c r="D18" s="64"/>
      <c r="E18" s="64" t="str">
        <f>+B18</f>
        <v>(***)</v>
      </c>
      <c r="F18" s="522" t="s">
        <v>2</v>
      </c>
      <c r="G18" s="528" t="s">
        <v>2</v>
      </c>
      <c r="H18" s="515"/>
      <c r="I18" s="528"/>
      <c r="J18" s="54"/>
      <c r="K18" s="718"/>
      <c r="L18" s="54"/>
    </row>
    <row r="19" spans="1:13" ht="22.6" customHeight="1">
      <c r="A19" s="63" t="s">
        <v>7</v>
      </c>
      <c r="B19" s="64" t="s">
        <v>219</v>
      </c>
      <c r="C19" s="64"/>
      <c r="D19" s="64"/>
      <c r="E19" s="64"/>
      <c r="F19" s="523" t="s">
        <v>2</v>
      </c>
      <c r="G19" s="529" t="s">
        <v>2</v>
      </c>
      <c r="H19" s="516"/>
      <c r="I19" s="529"/>
      <c r="J19" s="572"/>
      <c r="K19" s="54"/>
    </row>
    <row r="20" spans="1:13" ht="22.6" customHeight="1">
      <c r="A20" s="63" t="s">
        <v>223</v>
      </c>
      <c r="B20" s="64" t="s">
        <v>22</v>
      </c>
      <c r="C20" s="65"/>
      <c r="D20" s="65"/>
      <c r="E20" s="64" t="str">
        <f>+B20</f>
        <v>(***)</v>
      </c>
      <c r="F20" s="522" t="s">
        <v>2</v>
      </c>
      <c r="G20" s="528" t="s">
        <v>2</v>
      </c>
      <c r="H20" s="520"/>
      <c r="I20" s="528"/>
      <c r="J20" s="573"/>
      <c r="K20" s="718"/>
      <c r="L20" s="54"/>
      <c r="M20" s="726">
        <f>230000*4</f>
        <v>920000</v>
      </c>
    </row>
    <row r="21" spans="1:13" ht="22.6" customHeight="1" thickBot="1">
      <c r="A21" s="68" t="s">
        <v>9</v>
      </c>
      <c r="B21" s="69" t="s">
        <v>12</v>
      </c>
      <c r="C21" s="69" t="s">
        <v>12</v>
      </c>
      <c r="D21" s="69" t="s">
        <v>12</v>
      </c>
      <c r="E21" s="69" t="s">
        <v>12</v>
      </c>
      <c r="F21" s="518" t="s">
        <v>2</v>
      </c>
      <c r="G21" s="530" t="s">
        <v>2</v>
      </c>
      <c r="H21" s="594"/>
      <c r="I21" s="530"/>
      <c r="J21" s="568"/>
      <c r="K21" s="718"/>
      <c r="L21" s="54"/>
      <c r="M21" s="726">
        <v>70000</v>
      </c>
    </row>
    <row r="22" spans="1:13" ht="21.8" customHeight="1" thickTop="1">
      <c r="A22" s="810"/>
      <c r="B22" s="811"/>
      <c r="C22" s="811"/>
      <c r="D22" s="811"/>
      <c r="E22" s="811"/>
      <c r="F22" s="811"/>
      <c r="G22" s="811"/>
      <c r="H22" s="585"/>
      <c r="J22" s="54"/>
      <c r="K22" s="718"/>
      <c r="L22" s="54"/>
    </row>
    <row r="23" spans="1:13" s="61" customFormat="1" ht="41.4" customHeight="1">
      <c r="A23" s="812" t="s">
        <v>706</v>
      </c>
      <c r="B23" s="812"/>
      <c r="C23" s="812"/>
      <c r="D23" s="812"/>
      <c r="E23" s="812"/>
      <c r="F23" s="812"/>
      <c r="G23" s="812"/>
      <c r="H23" s="812"/>
      <c r="I23" s="812"/>
    </row>
    <row r="24" spans="1:13" s="61" customFormat="1" ht="11.3" customHeight="1">
      <c r="A24" s="805"/>
      <c r="B24" s="805"/>
      <c r="C24" s="805"/>
      <c r="D24" s="805"/>
      <c r="E24" s="805"/>
      <c r="F24" s="805"/>
      <c r="G24" s="805"/>
      <c r="H24" s="805"/>
      <c r="I24" s="805"/>
    </row>
    <row r="25" spans="1:13" s="61" customFormat="1" ht="31.6" customHeight="1">
      <c r="A25" s="812" t="s">
        <v>213</v>
      </c>
      <c r="B25" s="812"/>
      <c r="C25" s="812"/>
      <c r="D25" s="812"/>
      <c r="E25" s="812"/>
      <c r="F25" s="812"/>
      <c r="G25" s="812"/>
      <c r="H25" s="812"/>
      <c r="I25" s="812"/>
    </row>
    <row r="26" spans="1:13" s="61" customFormat="1" ht="7.55" customHeight="1">
      <c r="A26" s="805"/>
      <c r="B26" s="805"/>
      <c r="C26" s="805"/>
      <c r="D26" s="805"/>
      <c r="E26" s="805"/>
      <c r="F26" s="805"/>
      <c r="G26" s="805"/>
      <c r="H26" s="805"/>
      <c r="I26" s="805"/>
    </row>
    <row r="27" spans="1:13" ht="43.55" customHeight="1">
      <c r="A27" s="813" t="s">
        <v>639</v>
      </c>
      <c r="B27" s="813"/>
      <c r="C27" s="813"/>
      <c r="D27" s="813"/>
      <c r="E27" s="813"/>
      <c r="F27" s="813"/>
      <c r="G27" s="813"/>
      <c r="H27" s="813"/>
      <c r="I27" s="813"/>
    </row>
    <row r="28" spans="1:13" s="8" customFormat="1" ht="8.35" customHeight="1">
      <c r="A28" s="805"/>
      <c r="B28" s="805"/>
      <c r="C28" s="805"/>
      <c r="D28" s="805"/>
      <c r="E28" s="805"/>
      <c r="F28" s="805"/>
      <c r="G28" s="805"/>
      <c r="H28" s="805"/>
      <c r="I28" s="805"/>
    </row>
    <row r="29" spans="1:13" ht="18" customHeight="1">
      <c r="A29" s="807" t="s">
        <v>214</v>
      </c>
      <c r="B29" s="807"/>
      <c r="C29" s="807"/>
      <c r="D29" s="807"/>
      <c r="E29" s="807"/>
      <c r="F29" s="807"/>
      <c r="G29" s="807"/>
      <c r="H29" s="807"/>
      <c r="I29" s="807"/>
    </row>
    <row r="30" spans="1:13" ht="7.55" customHeight="1">
      <c r="A30" s="804"/>
      <c r="B30" s="804"/>
      <c r="C30" s="804"/>
      <c r="D30" s="804"/>
      <c r="E30" s="804"/>
      <c r="F30" s="804"/>
      <c r="G30" s="804"/>
      <c r="H30" s="804"/>
      <c r="I30" s="804"/>
    </row>
    <row r="31" spans="1:13" ht="14.25" customHeight="1">
      <c r="A31" s="806" t="s">
        <v>274</v>
      </c>
      <c r="B31" s="806"/>
      <c r="C31" s="806"/>
      <c r="D31" s="806"/>
      <c r="E31" s="806"/>
      <c r="F31" s="806"/>
      <c r="G31" s="806"/>
      <c r="H31" s="806"/>
      <c r="I31" s="806"/>
    </row>
    <row r="32" spans="1:13" s="9" customFormat="1" ht="18" customHeight="1">
      <c r="A32" s="807" t="s">
        <v>281</v>
      </c>
      <c r="B32" s="807"/>
      <c r="C32" s="807"/>
      <c r="D32" s="807"/>
      <c r="E32" s="807"/>
      <c r="F32" s="807"/>
      <c r="G32" s="807"/>
      <c r="H32" s="807"/>
      <c r="I32" s="807"/>
    </row>
    <row r="33" spans="1:9" s="9" customFormat="1" ht="21.15" customHeight="1">
      <c r="A33" s="803" t="s">
        <v>641</v>
      </c>
      <c r="B33" s="803"/>
      <c r="C33" s="803"/>
      <c r="D33" s="803"/>
      <c r="E33" s="803"/>
      <c r="F33" s="803"/>
      <c r="G33" s="803"/>
      <c r="H33" s="803"/>
      <c r="I33" s="803"/>
    </row>
    <row r="34" spans="1:9" s="9" customFormat="1" ht="21.15" customHeight="1">
      <c r="A34" s="803" t="s">
        <v>640</v>
      </c>
      <c r="B34" s="803"/>
      <c r="C34" s="803"/>
      <c r="D34" s="803"/>
      <c r="E34" s="803"/>
      <c r="F34" s="803"/>
      <c r="G34" s="803"/>
      <c r="H34" s="803"/>
      <c r="I34" s="803"/>
    </row>
    <row r="35" spans="1:9" s="9" customFormat="1" ht="21.15" customHeight="1">
      <c r="A35" s="803" t="s">
        <v>635</v>
      </c>
      <c r="B35" s="803"/>
      <c r="C35" s="803"/>
      <c r="D35" s="803"/>
      <c r="E35" s="803"/>
      <c r="F35" s="803"/>
      <c r="G35" s="803"/>
      <c r="H35" s="803"/>
      <c r="I35" s="803"/>
    </row>
    <row r="36" spans="1:9" s="9" customFormat="1" ht="21.15" customHeight="1">
      <c r="A36" s="803" t="s">
        <v>636</v>
      </c>
      <c r="B36" s="803"/>
      <c r="C36" s="803"/>
      <c r="D36" s="803"/>
      <c r="E36" s="803"/>
      <c r="F36" s="803"/>
      <c r="G36" s="803"/>
      <c r="H36" s="803"/>
      <c r="I36" s="803"/>
    </row>
    <row r="37" spans="1:9" s="9" customFormat="1">
      <c r="A37" s="803"/>
      <c r="B37" s="803"/>
      <c r="C37" s="803"/>
      <c r="D37" s="803"/>
      <c r="E37" s="803"/>
      <c r="F37" s="803"/>
      <c r="G37" s="803"/>
      <c r="H37" s="803"/>
      <c r="I37" s="803"/>
    </row>
    <row r="38" spans="1:9" s="9" customFormat="1" ht="14.25" customHeight="1">
      <c r="A38" s="807" t="s">
        <v>630</v>
      </c>
      <c r="B38" s="807"/>
      <c r="C38" s="807"/>
      <c r="D38" s="807"/>
      <c r="E38" s="807"/>
      <c r="F38" s="807"/>
      <c r="G38" s="807"/>
      <c r="H38" s="807"/>
      <c r="I38" s="807"/>
    </row>
    <row r="39" spans="1:9" s="9" customFormat="1" ht="14.25" customHeight="1">
      <c r="A39" s="807"/>
      <c r="B39" s="807"/>
      <c r="C39" s="807"/>
      <c r="D39" s="807"/>
      <c r="E39" s="807"/>
      <c r="F39" s="807"/>
      <c r="G39" s="807"/>
      <c r="H39" s="807"/>
      <c r="I39" s="807"/>
    </row>
    <row r="40" spans="1:9" s="9" customFormat="1" ht="14.25" customHeight="1">
      <c r="A40" s="807"/>
      <c r="B40" s="807"/>
      <c r="C40" s="807"/>
      <c r="D40" s="807"/>
      <c r="E40" s="807"/>
      <c r="F40" s="807"/>
      <c r="G40" s="807"/>
      <c r="H40" s="807"/>
      <c r="I40" s="807"/>
    </row>
    <row r="41" spans="1:9" s="9" customFormat="1" ht="14.25" customHeight="1">
      <c r="A41" s="807"/>
      <c r="B41" s="807"/>
      <c r="C41" s="807"/>
      <c r="D41" s="807"/>
      <c r="E41" s="807"/>
      <c r="F41" s="807"/>
      <c r="G41" s="807"/>
      <c r="H41" s="807"/>
      <c r="I41" s="807"/>
    </row>
    <row r="42" spans="1:9" s="9" customFormat="1" ht="71.349999999999994" customHeight="1">
      <c r="A42" s="807" t="s">
        <v>632</v>
      </c>
      <c r="B42" s="807"/>
      <c r="C42" s="807"/>
      <c r="D42" s="807"/>
      <c r="E42" s="807"/>
      <c r="F42" s="807"/>
      <c r="G42" s="807"/>
      <c r="H42" s="807"/>
      <c r="I42" s="807"/>
    </row>
    <row r="43" spans="1:9" s="9" customFormat="1" ht="41.9" customHeight="1">
      <c r="A43" s="807" t="s">
        <v>631</v>
      </c>
      <c r="B43" s="807"/>
      <c r="C43" s="807"/>
      <c r="D43" s="807"/>
      <c r="E43" s="807"/>
      <c r="F43" s="807"/>
      <c r="G43" s="807"/>
      <c r="H43" s="807"/>
      <c r="I43" s="807"/>
    </row>
    <row r="44" spans="1:9" s="9" customFormat="1" ht="47.8" customHeight="1">
      <c r="A44" s="807" t="s">
        <v>726</v>
      </c>
      <c r="B44" s="807"/>
      <c r="C44" s="807"/>
      <c r="D44" s="807"/>
      <c r="E44" s="807"/>
      <c r="F44" s="807"/>
      <c r="G44" s="807"/>
      <c r="H44" s="807"/>
      <c r="I44" s="807"/>
    </row>
    <row r="45" spans="1:9" s="9" customFormat="1" ht="90" customHeight="1">
      <c r="A45" s="808" t="s">
        <v>282</v>
      </c>
      <c r="B45" s="808"/>
      <c r="C45" s="808"/>
      <c r="D45" s="808"/>
      <c r="E45" s="808"/>
      <c r="F45" s="808"/>
      <c r="G45" s="808"/>
      <c r="H45" s="808"/>
      <c r="I45" s="808"/>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HQgLrLqLI3X3GE4aA1zOojg0ErgkR0cMtCJOQR4k6R4obfojkb7CZgmfwkZa1ou8VoAS60MDrh2n2C6ShRW3NQ==" saltValue="sT+SWc0XXfVVx+slK9yI6w=="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7"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8" sqref="U8"/>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22" t="s">
        <v>729</v>
      </c>
      <c r="B1" s="822"/>
      <c r="C1" s="822"/>
      <c r="D1" s="822"/>
      <c r="E1" s="822"/>
      <c r="F1" s="822"/>
      <c r="G1" s="2"/>
      <c r="H1" s="2"/>
    </row>
    <row r="2" spans="1:20" s="55" customFormat="1" ht="68.25" customHeight="1">
      <c r="A2" s="821"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30 de Junio de 2021 al 09 de Julio de 2021 o hasta el momento en que el MME lo determine</v>
      </c>
      <c r="B2" s="821"/>
      <c r="C2" s="821"/>
      <c r="D2" s="821"/>
      <c r="E2" s="821"/>
      <c r="F2" s="821"/>
      <c r="G2" s="821"/>
      <c r="H2" s="586"/>
      <c r="I2" s="587"/>
    </row>
    <row r="3" spans="1:20" s="55" customFormat="1" ht="21.8" customHeight="1">
      <c r="A3" s="314" t="s">
        <v>0</v>
      </c>
      <c r="B3" s="710"/>
      <c r="C3" s="710"/>
      <c r="D3" s="710"/>
      <c r="E3" s="710"/>
      <c r="F3" s="710"/>
      <c r="G3" s="710"/>
      <c r="H3" s="710"/>
      <c r="I3" s="315"/>
      <c r="K3" s="655"/>
      <c r="M3" s="708"/>
    </row>
    <row r="4" spans="1:20" s="49" customFormat="1" ht="23.9" customHeight="1">
      <c r="A4" s="814" t="s">
        <v>1</v>
      </c>
      <c r="B4" s="816" t="s">
        <v>25</v>
      </c>
      <c r="C4" s="818" t="s">
        <v>10</v>
      </c>
      <c r="D4" s="819"/>
      <c r="E4" s="816" t="s">
        <v>634</v>
      </c>
      <c r="F4" s="818" t="s">
        <v>633</v>
      </c>
      <c r="G4" s="820"/>
      <c r="H4" s="818" t="s">
        <v>633</v>
      </c>
      <c r="I4" s="820"/>
      <c r="K4" s="654"/>
      <c r="M4" s="707"/>
    </row>
    <row r="5" spans="1:20" s="49" customFormat="1" ht="30.15" customHeight="1">
      <c r="A5" s="814"/>
      <c r="B5" s="817"/>
      <c r="C5" s="62" t="s">
        <v>51</v>
      </c>
      <c r="D5" s="62" t="s">
        <v>52</v>
      </c>
      <c r="E5" s="817"/>
      <c r="F5" s="316" t="s">
        <v>637</v>
      </c>
      <c r="G5" s="316" t="s">
        <v>638</v>
      </c>
      <c r="H5" s="316" t="s">
        <v>645</v>
      </c>
      <c r="I5" s="316" t="s">
        <v>646</v>
      </c>
      <c r="K5" s="662" t="s">
        <v>686</v>
      </c>
    </row>
    <row r="6" spans="1:20" s="49" customFormat="1" ht="61.55" customHeight="1" thickBot="1">
      <c r="A6" s="815"/>
      <c r="B6" s="179" t="str">
        <f>+A1</f>
        <v>Vigencia: 30 de Junio de 2021 al 09 de Julio de 2021 o hasta el momento en que el MME lo determine</v>
      </c>
      <c r="C6" s="179" t="str">
        <f>+B6</f>
        <v>Vigencia: 30 de Junio de 2021 al 09 de Julio de 2021 o hasta el momento en que el MME lo determine</v>
      </c>
      <c r="D6" s="180" t="str">
        <f>+A1</f>
        <v>Vigencia: 30 de Junio de 2021 al 09 de Julio de 2021 o hasta el momento en que el MME lo determine</v>
      </c>
      <c r="E6" s="179" t="str">
        <f>+D6</f>
        <v>Vigencia: 30 de Junio de 2021 al 09 de Julio de 2021 o hasta el momento en que el MME lo determine</v>
      </c>
      <c r="F6" s="317" t="str">
        <f>+E6</f>
        <v>Vigencia: 30 de Junio de 2021 al 09 de Julio de 2021 o hasta el momento en que el MME lo determine</v>
      </c>
      <c r="G6" s="317" t="str">
        <f>+F6</f>
        <v>Vigencia: 30 de Junio de 2021 al 09 de Julio de 2021 o hasta el momento en que el MME lo determine</v>
      </c>
      <c r="H6" s="317" t="str">
        <f>+G6</f>
        <v>Vigencia: 30 de Junio de 2021 al 09 de Julio de 2021 o hasta el momento en que el MME lo determine</v>
      </c>
      <c r="I6" s="317" t="str">
        <f>+F6</f>
        <v>Vigencia: 30 de Junio de 2021 al 09 de Julio de 2021 o hasta el momento en que el MME lo determine</v>
      </c>
      <c r="K6" s="662" t="s">
        <v>684</v>
      </c>
    </row>
    <row r="7" spans="1:20" ht="22.6" customHeight="1" thickTop="1">
      <c r="A7" s="71" t="s">
        <v>3</v>
      </c>
      <c r="B7" s="603">
        <v>4931.12</v>
      </c>
      <c r="C7" s="713">
        <f>+'COMBUSTIBLES '!C7</f>
        <v>7750</v>
      </c>
      <c r="D7" s="714">
        <f>+C7</f>
        <v>7750</v>
      </c>
      <c r="E7" s="608">
        <v>5782.38</v>
      </c>
      <c r="F7" s="615">
        <v>9770</v>
      </c>
      <c r="G7" s="616">
        <v>9943.51</v>
      </c>
      <c r="H7" s="615"/>
      <c r="I7" s="616"/>
      <c r="K7" s="656" t="s">
        <v>653</v>
      </c>
    </row>
    <row r="8" spans="1:20" ht="22.6" customHeight="1">
      <c r="A8" s="63" t="s">
        <v>56</v>
      </c>
      <c r="B8" s="603">
        <f>8.14*(1+3%)</f>
        <v>8.3842000000000017</v>
      </c>
      <c r="C8" s="415">
        <f>+B8</f>
        <v>8.3842000000000017</v>
      </c>
      <c r="D8" s="415">
        <f>+C8</f>
        <v>8.3842000000000017</v>
      </c>
      <c r="E8" s="608">
        <f>D8</f>
        <v>8.3842000000000017</v>
      </c>
      <c r="F8" s="519"/>
      <c r="G8" s="524"/>
      <c r="H8" s="515"/>
      <c r="I8" s="593"/>
      <c r="K8" s="656" t="s">
        <v>652</v>
      </c>
      <c r="L8" s="5" t="s">
        <v>698</v>
      </c>
    </row>
    <row r="9" spans="1:20" ht="22.6" customHeight="1">
      <c r="A9" s="63" t="s">
        <v>226</v>
      </c>
      <c r="B9" s="64" t="s">
        <v>11</v>
      </c>
      <c r="C9" s="64" t="s">
        <v>11</v>
      </c>
      <c r="D9" s="64" t="s">
        <v>11</v>
      </c>
      <c r="E9" s="64" t="s">
        <v>11</v>
      </c>
      <c r="F9" s="516" t="s">
        <v>11</v>
      </c>
      <c r="G9" s="525" t="s">
        <v>11</v>
      </c>
      <c r="H9" s="525" t="s">
        <v>11</v>
      </c>
      <c r="I9" s="525" t="s">
        <v>11</v>
      </c>
      <c r="N9" s="602" t="s">
        <v>657</v>
      </c>
    </row>
    <row r="10" spans="1:20" ht="22.6" hidden="1" customHeight="1">
      <c r="A10" s="63" t="s">
        <v>216</v>
      </c>
      <c r="B10" s="608">
        <f>71.51*0</f>
        <v>0</v>
      </c>
      <c r="C10" s="415">
        <f>B10</f>
        <v>0</v>
      </c>
      <c r="D10" s="415">
        <f>B10</f>
        <v>0</v>
      </c>
      <c r="E10" s="608">
        <f>B10</f>
        <v>0</v>
      </c>
      <c r="F10" s="520"/>
      <c r="G10" s="526"/>
      <c r="H10" s="520"/>
      <c r="I10" s="526"/>
      <c r="J10" s="54"/>
      <c r="K10" s="656" t="s">
        <v>652</v>
      </c>
      <c r="L10" s="54"/>
    </row>
    <row r="11" spans="1:20" ht="22.6" customHeight="1">
      <c r="A11" s="63" t="s">
        <v>256</v>
      </c>
      <c r="B11" s="605">
        <f>+Variables!C20</f>
        <v>555.04999999999995</v>
      </c>
      <c r="C11" s="65">
        <f>+Variables!C23</f>
        <v>1053.47</v>
      </c>
      <c r="D11" s="65">
        <f>+ROUND(C11,2)</f>
        <v>1053.47</v>
      </c>
      <c r="E11" s="604">
        <f>+Variables!C27</f>
        <v>531.27</v>
      </c>
      <c r="F11" s="517"/>
      <c r="G11" s="526"/>
      <c r="H11" s="517"/>
      <c r="I11" s="526"/>
      <c r="J11" s="567"/>
      <c r="K11" s="656" t="s">
        <v>652</v>
      </c>
      <c r="L11" s="54"/>
    </row>
    <row r="12" spans="1:20" ht="22.6" customHeight="1">
      <c r="A12" s="63" t="s">
        <v>262</v>
      </c>
      <c r="B12" s="430" t="s">
        <v>326</v>
      </c>
      <c r="C12" s="430" t="s">
        <v>326</v>
      </c>
      <c r="D12" s="430" t="s">
        <v>326</v>
      </c>
      <c r="E12" s="430" t="s">
        <v>326</v>
      </c>
      <c r="F12" s="515" t="s">
        <v>326</v>
      </c>
      <c r="G12" s="526" t="s">
        <v>326</v>
      </c>
      <c r="H12" s="526" t="s">
        <v>326</v>
      </c>
      <c r="I12" s="526" t="s">
        <v>326</v>
      </c>
      <c r="J12" s="54"/>
      <c r="K12" s="54"/>
      <c r="L12" s="54"/>
    </row>
    <row r="13" spans="1:20" ht="22.6" customHeight="1">
      <c r="A13" s="63" t="s">
        <v>305</v>
      </c>
      <c r="B13" s="605">
        <f>+Variables!C46</f>
        <v>159</v>
      </c>
      <c r="C13" s="65">
        <f>+B13</f>
        <v>159</v>
      </c>
      <c r="D13" s="65">
        <f>+C13</f>
        <v>159</v>
      </c>
      <c r="E13" s="604">
        <f>+Variables!C47</f>
        <v>179</v>
      </c>
      <c r="F13" s="517"/>
      <c r="G13" s="526"/>
      <c r="H13" s="515"/>
      <c r="I13" s="526"/>
      <c r="J13" s="54"/>
      <c r="K13" s="656" t="s">
        <v>652</v>
      </c>
      <c r="L13" s="54"/>
    </row>
    <row r="14" spans="1:20" ht="22.6" customHeight="1">
      <c r="A14" s="63" t="s">
        <v>23</v>
      </c>
      <c r="B14" s="64" t="s">
        <v>12</v>
      </c>
      <c r="C14" s="64" t="s">
        <v>12</v>
      </c>
      <c r="D14" s="64" t="s">
        <v>12</v>
      </c>
      <c r="E14" s="64" t="s">
        <v>12</v>
      </c>
      <c r="F14" s="516"/>
      <c r="G14" s="525"/>
      <c r="H14" s="516"/>
      <c r="I14" s="525"/>
      <c r="J14" s="54"/>
      <c r="K14" s="54"/>
      <c r="L14" s="54"/>
    </row>
    <row r="15" spans="1:20" ht="22.6" customHeight="1">
      <c r="A15" s="63" t="s">
        <v>217</v>
      </c>
      <c r="B15" s="64" t="s">
        <v>22</v>
      </c>
      <c r="C15" s="64"/>
      <c r="D15" s="64"/>
      <c r="E15" s="64" t="str">
        <f>+B15</f>
        <v>(***)</v>
      </c>
      <c r="F15" s="521"/>
      <c r="G15" s="527"/>
      <c r="H15" s="520"/>
      <c r="I15" s="527"/>
      <c r="J15" s="568"/>
      <c r="K15" s="54"/>
      <c r="L15" s="54"/>
    </row>
    <row r="16" spans="1:20" ht="22.6" customHeight="1">
      <c r="A16" s="63" t="s">
        <v>720</v>
      </c>
      <c r="B16" s="430" t="s">
        <v>725</v>
      </c>
      <c r="C16" s="430" t="s">
        <v>725</v>
      </c>
      <c r="D16" s="430" t="s">
        <v>725</v>
      </c>
      <c r="E16" s="430" t="s">
        <v>725</v>
      </c>
      <c r="F16" s="522" t="s">
        <v>2</v>
      </c>
      <c r="G16" s="528" t="s">
        <v>2</v>
      </c>
      <c r="H16" s="517"/>
      <c r="I16" s="528"/>
      <c r="J16" s="568"/>
      <c r="K16" s="656" t="s">
        <v>652</v>
      </c>
      <c r="L16" s="54">
        <f>5024*0.06</f>
        <v>301.44</v>
      </c>
      <c r="M16" s="5" t="s">
        <v>681</v>
      </c>
      <c r="P16" s="5" t="s">
        <v>682</v>
      </c>
      <c r="Q16" s="5">
        <f>5078.77*0.25</f>
        <v>1269.6925000000001</v>
      </c>
      <c r="S16" s="5" t="s">
        <v>683</v>
      </c>
      <c r="T16" s="54">
        <f>7107.81*0.25</f>
        <v>1776.9525000000001</v>
      </c>
    </row>
    <row r="17" spans="1:12" ht="22.6" customHeight="1">
      <c r="A17" s="63" t="s">
        <v>5</v>
      </c>
      <c r="B17" s="64" t="s">
        <v>12</v>
      </c>
      <c r="C17" s="64" t="s">
        <v>12</v>
      </c>
      <c r="D17" s="64" t="s">
        <v>12</v>
      </c>
      <c r="E17" s="64" t="s">
        <v>12</v>
      </c>
      <c r="F17" s="522" t="s">
        <v>2</v>
      </c>
      <c r="G17" s="528" t="s">
        <v>2</v>
      </c>
      <c r="H17" s="515"/>
      <c r="I17" s="528"/>
      <c r="J17" s="569"/>
      <c r="K17" s="570"/>
      <c r="L17" s="54"/>
    </row>
    <row r="18" spans="1:12" ht="22.6" customHeight="1">
      <c r="A18" s="63" t="s">
        <v>218</v>
      </c>
      <c r="B18" s="64" t="s">
        <v>22</v>
      </c>
      <c r="C18" s="64"/>
      <c r="D18" s="64"/>
      <c r="E18" s="64" t="str">
        <f>+B18</f>
        <v>(***)</v>
      </c>
      <c r="F18" s="522" t="s">
        <v>2</v>
      </c>
      <c r="G18" s="528" t="s">
        <v>2</v>
      </c>
      <c r="H18" s="515"/>
      <c r="I18" s="528"/>
      <c r="J18" s="54"/>
      <c r="K18" s="571"/>
      <c r="L18" s="54"/>
    </row>
    <row r="19" spans="1:12" ht="22.6" customHeight="1">
      <c r="A19" s="63" t="s">
        <v>7</v>
      </c>
      <c r="B19" s="64" t="s">
        <v>219</v>
      </c>
      <c r="C19" s="64"/>
      <c r="D19" s="64"/>
      <c r="E19" s="64"/>
      <c r="F19" s="523" t="s">
        <v>2</v>
      </c>
      <c r="G19" s="529" t="s">
        <v>2</v>
      </c>
      <c r="H19" s="516"/>
      <c r="I19" s="529"/>
      <c r="J19" s="572"/>
      <c r="K19" s="54"/>
    </row>
    <row r="20" spans="1:12" ht="22.6" customHeight="1">
      <c r="A20" s="63" t="s">
        <v>223</v>
      </c>
      <c r="B20" s="64" t="s">
        <v>22</v>
      </c>
      <c r="C20" s="65"/>
      <c r="D20" s="65"/>
      <c r="E20" s="64" t="str">
        <f>+B20</f>
        <v>(***)</v>
      </c>
      <c r="F20" s="522" t="s">
        <v>2</v>
      </c>
      <c r="G20" s="528" t="s">
        <v>2</v>
      </c>
      <c r="H20" s="520"/>
      <c r="I20" s="528"/>
      <c r="J20" s="573"/>
      <c r="K20" s="54"/>
      <c r="L20" s="54"/>
    </row>
    <row r="21" spans="1:12" ht="22.6" customHeight="1" thickBot="1">
      <c r="A21" s="68" t="s">
        <v>9</v>
      </c>
      <c r="B21" s="69" t="s">
        <v>12</v>
      </c>
      <c r="C21" s="69" t="s">
        <v>12</v>
      </c>
      <c r="D21" s="69" t="s">
        <v>12</v>
      </c>
      <c r="E21" s="69" t="s">
        <v>12</v>
      </c>
      <c r="F21" s="518" t="s">
        <v>2</v>
      </c>
      <c r="G21" s="530" t="s">
        <v>2</v>
      </c>
      <c r="H21" s="594"/>
      <c r="I21" s="530"/>
      <c r="J21" s="568"/>
      <c r="K21" s="54"/>
      <c r="L21" s="54"/>
    </row>
    <row r="22" spans="1:12" ht="21.8" customHeight="1" thickTop="1">
      <c r="A22" s="810" t="s">
        <v>708</v>
      </c>
      <c r="B22" s="811"/>
      <c r="C22" s="811"/>
      <c r="D22" s="811"/>
      <c r="E22" s="811"/>
      <c r="F22" s="811"/>
      <c r="G22" s="811"/>
      <c r="H22" s="711"/>
      <c r="J22" s="54"/>
      <c r="K22" s="54"/>
      <c r="L22" s="54"/>
    </row>
    <row r="23" spans="1:12" s="61" customFormat="1" ht="41.4" customHeight="1">
      <c r="A23" s="812" t="s">
        <v>706</v>
      </c>
      <c r="B23" s="812"/>
      <c r="C23" s="812"/>
      <c r="D23" s="812"/>
      <c r="E23" s="812"/>
      <c r="F23" s="812"/>
      <c r="G23" s="812"/>
      <c r="H23" s="812"/>
      <c r="I23" s="812"/>
    </row>
    <row r="24" spans="1:12" s="61" customFormat="1" ht="11.3" customHeight="1">
      <c r="A24" s="805"/>
      <c r="B24" s="805"/>
      <c r="C24" s="805"/>
      <c r="D24" s="805"/>
      <c r="E24" s="805"/>
      <c r="F24" s="805"/>
      <c r="G24" s="805"/>
      <c r="H24" s="805"/>
      <c r="I24" s="805"/>
    </row>
    <row r="25" spans="1:12" s="61" customFormat="1" ht="31.6" customHeight="1">
      <c r="A25" s="812" t="s">
        <v>213</v>
      </c>
      <c r="B25" s="812"/>
      <c r="C25" s="812"/>
      <c r="D25" s="812"/>
      <c r="E25" s="812"/>
      <c r="F25" s="812"/>
      <c r="G25" s="812"/>
      <c r="H25" s="812"/>
      <c r="I25" s="812"/>
    </row>
    <row r="26" spans="1:12" s="61" customFormat="1" ht="7.55" customHeight="1">
      <c r="A26" s="805"/>
      <c r="B26" s="805"/>
      <c r="C26" s="805"/>
      <c r="D26" s="805"/>
      <c r="E26" s="805"/>
      <c r="F26" s="805"/>
      <c r="G26" s="805"/>
      <c r="H26" s="805"/>
      <c r="I26" s="805"/>
    </row>
    <row r="27" spans="1:12" ht="43.55" customHeight="1">
      <c r="A27" s="813" t="s">
        <v>639</v>
      </c>
      <c r="B27" s="813"/>
      <c r="C27" s="813"/>
      <c r="D27" s="813"/>
      <c r="E27" s="813"/>
      <c r="F27" s="813"/>
      <c r="G27" s="813"/>
      <c r="H27" s="813"/>
      <c r="I27" s="813"/>
    </row>
    <row r="28" spans="1:12" s="8" customFormat="1" ht="8.35" customHeight="1">
      <c r="A28" s="805"/>
      <c r="B28" s="805"/>
      <c r="C28" s="805"/>
      <c r="D28" s="805"/>
      <c r="E28" s="805"/>
      <c r="F28" s="805"/>
      <c r="G28" s="805"/>
      <c r="H28" s="805"/>
      <c r="I28" s="805"/>
    </row>
    <row r="29" spans="1:12" ht="18" customHeight="1">
      <c r="A29" s="807" t="s">
        <v>214</v>
      </c>
      <c r="B29" s="807"/>
      <c r="C29" s="807"/>
      <c r="D29" s="807"/>
      <c r="E29" s="807"/>
      <c r="F29" s="807"/>
      <c r="G29" s="807"/>
      <c r="H29" s="807"/>
      <c r="I29" s="807"/>
    </row>
    <row r="30" spans="1:12" ht="7.55" customHeight="1">
      <c r="A30" s="804"/>
      <c r="B30" s="804"/>
      <c r="C30" s="804"/>
      <c r="D30" s="804"/>
      <c r="E30" s="804"/>
      <c r="F30" s="804"/>
      <c r="G30" s="804"/>
      <c r="H30" s="804"/>
      <c r="I30" s="804"/>
    </row>
    <row r="31" spans="1:12" ht="29.3" customHeight="1">
      <c r="A31" s="806" t="s">
        <v>274</v>
      </c>
      <c r="B31" s="806"/>
      <c r="C31" s="806"/>
      <c r="D31" s="806"/>
      <c r="E31" s="806"/>
      <c r="F31" s="806"/>
      <c r="G31" s="806"/>
      <c r="H31" s="806"/>
      <c r="I31" s="806"/>
    </row>
    <row r="32" spans="1:12" s="9" customFormat="1" ht="18" customHeight="1">
      <c r="A32" s="807" t="s">
        <v>281</v>
      </c>
      <c r="B32" s="807"/>
      <c r="C32" s="807"/>
      <c r="D32" s="807"/>
      <c r="E32" s="807"/>
      <c r="F32" s="807"/>
      <c r="G32" s="807"/>
      <c r="H32" s="807"/>
      <c r="I32" s="807"/>
    </row>
    <row r="33" spans="1:9" s="9" customFormat="1" ht="21.15" hidden="1" customHeight="1">
      <c r="A33" s="803" t="s">
        <v>641</v>
      </c>
      <c r="B33" s="803"/>
      <c r="C33" s="803"/>
      <c r="D33" s="803"/>
      <c r="E33" s="803"/>
      <c r="F33" s="803"/>
      <c r="G33" s="803"/>
      <c r="H33" s="803"/>
      <c r="I33" s="803"/>
    </row>
    <row r="34" spans="1:9" s="9" customFormat="1" ht="21.15" hidden="1" customHeight="1">
      <c r="A34" s="803" t="s">
        <v>640</v>
      </c>
      <c r="B34" s="803"/>
      <c r="C34" s="803"/>
      <c r="D34" s="803"/>
      <c r="E34" s="803"/>
      <c r="F34" s="803"/>
      <c r="G34" s="803"/>
      <c r="H34" s="803"/>
      <c r="I34" s="803"/>
    </row>
    <row r="35" spans="1:9" s="9" customFormat="1" ht="21.15" hidden="1" customHeight="1">
      <c r="A35" s="803" t="s">
        <v>635</v>
      </c>
      <c r="B35" s="803"/>
      <c r="C35" s="803"/>
      <c r="D35" s="803"/>
      <c r="E35" s="803"/>
      <c r="F35" s="803"/>
      <c r="G35" s="803"/>
      <c r="H35" s="803"/>
      <c r="I35" s="803"/>
    </row>
    <row r="36" spans="1:9" s="9" customFormat="1" ht="21.15" hidden="1" customHeight="1">
      <c r="A36" s="803" t="s">
        <v>636</v>
      </c>
      <c r="B36" s="803"/>
      <c r="C36" s="803"/>
      <c r="D36" s="803"/>
      <c r="E36" s="803"/>
      <c r="F36" s="803"/>
      <c r="G36" s="803"/>
      <c r="H36" s="803"/>
      <c r="I36" s="803"/>
    </row>
    <row r="37" spans="1:9" s="9" customFormat="1">
      <c r="A37" s="803"/>
      <c r="B37" s="803"/>
      <c r="C37" s="803"/>
      <c r="D37" s="803"/>
      <c r="E37" s="803"/>
      <c r="F37" s="803"/>
      <c r="G37" s="803"/>
      <c r="H37" s="803"/>
      <c r="I37" s="803"/>
    </row>
    <row r="38" spans="1:9" s="9" customFormat="1" ht="14.25" customHeight="1">
      <c r="A38" s="807" t="s">
        <v>630</v>
      </c>
      <c r="B38" s="807"/>
      <c r="C38" s="807"/>
      <c r="D38" s="807"/>
      <c r="E38" s="807"/>
      <c r="F38" s="807"/>
      <c r="G38" s="807"/>
      <c r="H38" s="807"/>
      <c r="I38" s="807"/>
    </row>
    <row r="39" spans="1:9" s="9" customFormat="1" ht="14.25" customHeight="1">
      <c r="A39" s="807"/>
      <c r="B39" s="807"/>
      <c r="C39" s="807"/>
      <c r="D39" s="807"/>
      <c r="E39" s="807"/>
      <c r="F39" s="807"/>
      <c r="G39" s="807"/>
      <c r="H39" s="807"/>
      <c r="I39" s="807"/>
    </row>
    <row r="40" spans="1:9" s="9" customFormat="1" ht="14.25" customHeight="1">
      <c r="A40" s="807"/>
      <c r="B40" s="807"/>
      <c r="C40" s="807"/>
      <c r="D40" s="807"/>
      <c r="E40" s="807"/>
      <c r="F40" s="807"/>
      <c r="G40" s="807"/>
      <c r="H40" s="807"/>
      <c r="I40" s="807"/>
    </row>
    <row r="41" spans="1:9" s="9" customFormat="1" ht="14.25" customHeight="1">
      <c r="A41" s="807"/>
      <c r="B41" s="807"/>
      <c r="C41" s="807"/>
      <c r="D41" s="807"/>
      <c r="E41" s="807"/>
      <c r="F41" s="807"/>
      <c r="G41" s="807"/>
      <c r="H41" s="807"/>
      <c r="I41" s="807"/>
    </row>
    <row r="42" spans="1:9" s="9" customFormat="1" ht="87.05" customHeight="1">
      <c r="A42" s="807" t="s">
        <v>632</v>
      </c>
      <c r="B42" s="807"/>
      <c r="C42" s="807"/>
      <c r="D42" s="807"/>
      <c r="E42" s="807"/>
      <c r="F42" s="807"/>
      <c r="G42" s="807"/>
      <c r="H42" s="807"/>
      <c r="I42" s="807"/>
    </row>
    <row r="43" spans="1:9" s="9" customFormat="1" ht="51.9" customHeight="1">
      <c r="A43" s="807" t="s">
        <v>631</v>
      </c>
      <c r="B43" s="807"/>
      <c r="C43" s="807"/>
      <c r="D43" s="807"/>
      <c r="E43" s="807"/>
      <c r="F43" s="807"/>
      <c r="G43" s="807"/>
      <c r="H43" s="807"/>
      <c r="I43" s="807"/>
    </row>
    <row r="44" spans="1:9" s="9" customFormat="1" ht="34.700000000000003" customHeight="1">
      <c r="A44" s="807" t="s">
        <v>724</v>
      </c>
      <c r="B44" s="807"/>
      <c r="C44" s="807"/>
      <c r="D44" s="807"/>
      <c r="E44" s="807"/>
      <c r="F44" s="807"/>
      <c r="G44" s="807"/>
      <c r="H44" s="807"/>
      <c r="I44" s="807"/>
    </row>
    <row r="45" spans="1:9" s="9" customFormat="1" ht="105.05" customHeight="1">
      <c r="A45" s="808" t="s">
        <v>282</v>
      </c>
      <c r="B45" s="808"/>
      <c r="C45" s="808"/>
      <c r="D45" s="808"/>
      <c r="E45" s="808"/>
      <c r="F45" s="808"/>
      <c r="G45" s="808"/>
      <c r="H45" s="808"/>
      <c r="I45" s="808"/>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algorithmName="SHA-512" hashValue="qFhkMKqusdj5DMAwIh2oSsjAfnQNw9LSJRs6QlPLIF+j+K4nloEa/pZIdT/uwU9l0fNG2bUCo36iptfWGejRSQ==" saltValue="ORFph03TEbDwgCtXgRZGUQ==" spinCount="100000" sheet="1" objects="1" scenarios="1"/>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70" zoomScaleNormal="70" workbookViewId="0">
      <selection activeCell="E10" sqref="E10"/>
    </sheetView>
  </sheetViews>
  <sheetFormatPr baseColWidth="10" defaultColWidth="9.875" defaultRowHeight="14.4"/>
  <cols>
    <col min="1" max="1" width="60.625" style="2" customWidth="1"/>
    <col min="2" max="2" width="22" style="2" customWidth="1"/>
    <col min="3" max="3" width="21" style="2" customWidth="1"/>
    <col min="4" max="4" width="20.25" style="2" customWidth="1"/>
    <col min="5" max="5" width="20.25" style="6" customWidth="1"/>
    <col min="6" max="6" width="9.875" style="6"/>
    <col min="7" max="11" width="0" style="6" hidden="1" customWidth="1"/>
    <col min="12" max="16384" width="9.875" style="6"/>
  </cols>
  <sheetData>
    <row r="1" spans="1:59" s="5" customFormat="1" ht="15.0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65" customHeight="1">
      <c r="A2" s="825" t="str">
        <f>CONCATENATE("ESTRUCTURAS DE PRECIOS PARA GASOLINA MOTOR CORRIENTE OXIGENADA VIGENTES A PARTIR DE ",'COMBUSTIBLES '!$A$1)</f>
        <v>ESTRUCTURAS DE PRECIOS PARA GASOLINA MOTOR CORRIENTE OXIGENADA VIGENTES A PARTIR DE 01 DE JULIO 2021</v>
      </c>
      <c r="B2" s="826"/>
      <c r="C2" s="826"/>
      <c r="D2" s="82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65" customHeight="1">
      <c r="A3" s="827" t="s">
        <v>0</v>
      </c>
      <c r="B3" s="828"/>
      <c r="C3" s="828"/>
      <c r="D3" s="828"/>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 customHeight="1">
      <c r="A4" s="830" t="s">
        <v>1</v>
      </c>
      <c r="B4" s="829" t="s">
        <v>27</v>
      </c>
      <c r="C4" s="829" t="s">
        <v>569</v>
      </c>
      <c r="D4" s="408"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649999999999999" customHeight="1">
      <c r="A5" s="814"/>
      <c r="B5" s="817"/>
      <c r="C5" s="817"/>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5" customHeight="1" thickBot="1">
      <c r="A6" s="815"/>
      <c r="B6" s="181" t="str">
        <f>+'COMBUSTIBLES '!B6</f>
        <v>01 DE JULIO 2021</v>
      </c>
      <c r="C6" s="180" t="str">
        <f>'COMBUSTIBLES '!B6</f>
        <v>01 DE JULIO 2021</v>
      </c>
      <c r="D6" s="180" t="str">
        <f>+C6</f>
        <v>01 DE JULIO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 customHeight="1" thickTop="1">
      <c r="A7" s="80" t="s">
        <v>3</v>
      </c>
      <c r="B7" s="606">
        <v>8847</v>
      </c>
      <c r="C7" s="606">
        <f>+'COMBUSTIBLES '!B7</f>
        <v>4710.3100000000004</v>
      </c>
      <c r="D7" s="405"/>
      <c r="E7" s="6"/>
      <c r="F7" s="56"/>
      <c r="G7" s="656" t="s">
        <v>687</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 customHeight="1">
      <c r="A8" s="74" t="s">
        <v>182</v>
      </c>
      <c r="B8" s="174"/>
      <c r="C8" s="67"/>
      <c r="D8" s="606">
        <f>ROUND($C$7*(1-D5),2)</f>
        <v>4521.8999999999996</v>
      </c>
      <c r="E8" s="6"/>
      <c r="F8" s="6"/>
      <c r="G8" s="656" t="s">
        <v>651</v>
      </c>
      <c r="H8" s="599"/>
      <c r="I8" s="599"/>
      <c r="J8" s="599"/>
      <c r="K8" s="59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 customHeight="1">
      <c r="A9" s="74" t="s">
        <v>181</v>
      </c>
      <c r="B9" s="174"/>
      <c r="C9" s="67"/>
      <c r="D9" s="609">
        <f>+ROUND(B7*D5,2)</f>
        <v>353.88</v>
      </c>
      <c r="E9" s="6"/>
      <c r="F9" s="6"/>
      <c r="G9" s="656" t="s">
        <v>652</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 customHeight="1">
      <c r="A10" s="74" t="s">
        <v>49</v>
      </c>
      <c r="B10" s="174"/>
      <c r="C10" s="67"/>
      <c r="D10" s="606">
        <f>D8+D9</f>
        <v>4875.78</v>
      </c>
      <c r="E10" s="686"/>
      <c r="F10" s="6"/>
      <c r="G10" s="656" t="s">
        <v>652</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 customHeight="1">
      <c r="A11" s="74" t="str">
        <f>+'COMBUSTIBLES '!A11</f>
        <v>Impuesto Nacional a la Gasolina y al ACPM</v>
      </c>
      <c r="B11" s="174"/>
      <c r="C11" s="121">
        <f>+Variables!C21</f>
        <v>555.04999999999995</v>
      </c>
      <c r="D11" s="609">
        <f>+C11*(1-D5)</f>
        <v>532.84799999999996</v>
      </c>
      <c r="E11" s="6"/>
      <c r="F11" s="6"/>
      <c r="G11" s="656" t="s">
        <v>652</v>
      </c>
      <c r="H11" s="6"/>
      <c r="I11" s="6"/>
      <c r="J11" s="6"/>
      <c r="K11" s="6"/>
      <c r="L11" s="6"/>
      <c r="M11" s="6"/>
      <c r="N11" s="6" t="s">
        <v>595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 customHeight="1">
      <c r="A12" s="74" t="str">
        <f>+'COMBUSTIBLES '!A12</f>
        <v>Impuesto sobre las Ventas</v>
      </c>
      <c r="B12" s="174"/>
      <c r="C12" s="427"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 customHeight="1">
      <c r="A13" s="74" t="str">
        <f>+'COMBUSTIBLES '!A13</f>
        <v>Impuesto al carbono</v>
      </c>
      <c r="B13" s="174"/>
      <c r="C13" s="121">
        <f>Variables!C46</f>
        <v>159</v>
      </c>
      <c r="D13" s="606">
        <f>ROUND(C13*(1-D5),2)</f>
        <v>152.63999999999999</v>
      </c>
      <c r="E13" s="6"/>
      <c r="F13" s="6" t="s">
        <v>158</v>
      </c>
      <c r="G13" s="656" t="s">
        <v>652</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 customHeight="1">
      <c r="A14" s="74" t="s">
        <v>56</v>
      </c>
      <c r="B14" s="174"/>
      <c r="C14" s="121">
        <f>'COMBUSTIBLES '!B8</f>
        <v>8.3842000000000017</v>
      </c>
      <c r="D14" s="606">
        <f>+C14</f>
        <v>8.3842000000000017</v>
      </c>
      <c r="E14" s="6"/>
      <c r="F14" s="6"/>
      <c r="G14" s="656" t="s">
        <v>652</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 customHeight="1">
      <c r="A15" s="74" t="s">
        <v>183</v>
      </c>
      <c r="B15" s="174"/>
      <c r="C15" s="67"/>
      <c r="D15" s="40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 customHeight="1">
      <c r="A16" s="74" t="s">
        <v>184</v>
      </c>
      <c r="B16" s="174"/>
      <c r="C16" s="76"/>
      <c r="D16" s="40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 hidden="1" customHeight="1">
      <c r="A17" s="74" t="s">
        <v>216</v>
      </c>
      <c r="B17" s="174"/>
      <c r="C17" s="67">
        <f>'COMBUSTIBLES '!B10</f>
        <v>0</v>
      </c>
      <c r="D17" s="607">
        <f>+C17</f>
        <v>0</v>
      </c>
      <c r="E17" s="6"/>
      <c r="F17" s="6"/>
      <c r="G17" s="656" t="s">
        <v>652</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 customHeight="1">
      <c r="A18" s="74" t="s">
        <v>50</v>
      </c>
      <c r="B18" s="174"/>
      <c r="C18" s="67" t="s">
        <v>22</v>
      </c>
      <c r="D18" s="40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 customHeight="1">
      <c r="A19" s="74" t="s">
        <v>720</v>
      </c>
      <c r="B19" s="174"/>
      <c r="C19" s="430" t="s">
        <v>725</v>
      </c>
      <c r="D19" s="430" t="s">
        <v>725</v>
      </c>
      <c r="E19" s="6"/>
      <c r="F19" s="6"/>
      <c r="G19" s="656" t="s">
        <v>652</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 customHeight="1">
      <c r="A20" s="74" t="s">
        <v>47</v>
      </c>
      <c r="B20" s="174"/>
      <c r="C20" s="121" t="s">
        <v>158</v>
      </c>
      <c r="D20" s="406" t="s">
        <v>219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 customHeight="1">
      <c r="A21" s="74" t="s">
        <v>62</v>
      </c>
      <c r="B21" s="174"/>
      <c r="C21" s="67" t="s">
        <v>158</v>
      </c>
      <c r="D21" s="406"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 customHeight="1">
      <c r="A22" s="74" t="s">
        <v>48</v>
      </c>
      <c r="B22" s="174"/>
      <c r="C22" s="65" t="s">
        <v>158</v>
      </c>
      <c r="D22" s="406"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 customHeight="1">
      <c r="A23" s="74" t="s">
        <v>60</v>
      </c>
      <c r="B23" s="174"/>
      <c r="C23" s="67" t="s">
        <v>158</v>
      </c>
      <c r="D23" s="406"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 customHeight="1">
      <c r="A24" s="74" t="s">
        <v>223</v>
      </c>
      <c r="B24" s="174"/>
      <c r="C24" s="67" t="s">
        <v>158</v>
      </c>
      <c r="D24" s="406"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 customHeight="1" thickBot="1">
      <c r="A25" s="77" t="s">
        <v>61</v>
      </c>
      <c r="B25" s="175"/>
      <c r="C25" s="78" t="s">
        <v>158</v>
      </c>
      <c r="D25" s="407"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35" customHeight="1">
      <c r="A27" s="831" t="s">
        <v>249</v>
      </c>
      <c r="B27" s="831"/>
      <c r="C27" s="831"/>
      <c r="D27" s="831"/>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5" customHeight="1">
      <c r="A28" s="698"/>
      <c r="B28" s="698"/>
      <c r="C28" s="698"/>
      <c r="D28" s="698"/>
    </row>
    <row r="29" spans="1:59" s="320" customFormat="1" ht="48.15" customHeight="1">
      <c r="A29" s="832" t="s">
        <v>250</v>
      </c>
      <c r="B29" s="832"/>
      <c r="C29" s="832"/>
      <c r="D29" s="832"/>
    </row>
    <row r="30" spans="1:59" s="320" customFormat="1" ht="13.1">
      <c r="A30" s="699"/>
      <c r="B30" s="699"/>
      <c r="C30" s="700"/>
      <c r="D30" s="700"/>
    </row>
    <row r="31" spans="1:59" s="320" customFormat="1" ht="35.35" customHeight="1">
      <c r="A31" s="832" t="s">
        <v>220</v>
      </c>
      <c r="B31" s="832"/>
      <c r="C31" s="832"/>
      <c r="D31" s="832"/>
    </row>
    <row r="32" spans="1:59" s="320" customFormat="1" ht="13.1">
      <c r="A32" s="699"/>
      <c r="B32" s="699"/>
      <c r="C32" s="700"/>
      <c r="D32" s="700"/>
    </row>
    <row r="33" spans="1:9" s="357" customFormat="1" ht="36.65" customHeight="1">
      <c r="A33" s="833" t="s">
        <v>221</v>
      </c>
      <c r="B33" s="833"/>
      <c r="C33" s="833"/>
      <c r="D33" s="833"/>
    </row>
    <row r="34" spans="1:9" s="320" customFormat="1" ht="9.1999999999999993" customHeight="1">
      <c r="A34" s="699"/>
      <c r="B34" s="699"/>
      <c r="C34" s="700"/>
      <c r="D34" s="700"/>
    </row>
    <row r="35" spans="1:9" s="320" customFormat="1" ht="12.45">
      <c r="A35" s="832" t="s">
        <v>222</v>
      </c>
      <c r="B35" s="832"/>
      <c r="C35" s="832"/>
      <c r="D35" s="832"/>
    </row>
    <row r="36" spans="1:9" s="320" customFormat="1" ht="10.5" customHeight="1">
      <c r="A36" s="701"/>
      <c r="B36" s="701"/>
      <c r="C36" s="701"/>
      <c r="D36" s="701"/>
    </row>
    <row r="37" spans="1:9" s="320" customFormat="1" ht="30.8" customHeight="1">
      <c r="A37" s="824" t="s">
        <v>274</v>
      </c>
      <c r="B37" s="824"/>
      <c r="C37" s="824"/>
      <c r="D37" s="824"/>
    </row>
    <row r="38" spans="1:9" s="320" customFormat="1" ht="5.9" customHeight="1">
      <c r="A38" s="697"/>
      <c r="B38" s="697"/>
      <c r="C38" s="697"/>
      <c r="D38" s="697"/>
    </row>
    <row r="39" spans="1:9" s="320" customFormat="1" ht="12.8" customHeight="1">
      <c r="A39" s="823" t="s">
        <v>583</v>
      </c>
      <c r="B39" s="823"/>
      <c r="C39" s="823"/>
      <c r="D39" s="823"/>
      <c r="E39" s="702"/>
      <c r="F39" s="702"/>
    </row>
    <row r="40" spans="1:9" s="320" customFormat="1" ht="12.45">
      <c r="A40" s="823"/>
      <c r="B40" s="823"/>
      <c r="C40" s="823"/>
      <c r="D40" s="823"/>
      <c r="E40" s="702"/>
      <c r="F40" s="702"/>
    </row>
    <row r="41" spans="1:9">
      <c r="A41" s="823"/>
      <c r="B41" s="823"/>
      <c r="C41" s="823"/>
      <c r="D41" s="823"/>
      <c r="E41" s="702"/>
      <c r="F41" s="702"/>
    </row>
    <row r="42" spans="1:9">
      <c r="A42" s="823"/>
      <c r="B42" s="823"/>
      <c r="C42" s="823"/>
      <c r="D42" s="823"/>
      <c r="E42" s="702"/>
      <c r="F42" s="702"/>
    </row>
    <row r="43" spans="1:9" ht="25.55" customHeight="1">
      <c r="A43" s="823"/>
      <c r="B43" s="823"/>
      <c r="C43" s="823"/>
      <c r="D43" s="823"/>
      <c r="E43" s="696"/>
      <c r="F43" s="696"/>
    </row>
    <row r="44" spans="1:9" ht="79.849999999999994" customHeight="1">
      <c r="A44" s="834" t="s">
        <v>721</v>
      </c>
      <c r="B44" s="834"/>
      <c r="C44" s="834"/>
      <c r="D44" s="834"/>
      <c r="E44" s="320"/>
      <c r="F44" s="320"/>
      <c r="G44" s="320"/>
      <c r="H44" s="320"/>
      <c r="I44" s="320"/>
    </row>
    <row r="45" spans="1:9" ht="98.35" customHeight="1">
      <c r="A45" s="808" t="s">
        <v>282</v>
      </c>
      <c r="B45" s="808"/>
      <c r="C45" s="808"/>
      <c r="D45" s="808"/>
    </row>
  </sheetData>
  <sheetProtection algorithmName="SHA-512" hashValue="Xbq9U16B0BA+p/lMzR0ScHWBIwx1J55DPsBDJNzJmeV4Flq+epkh2G0jBzYVA4zWKBUH5hkqPpo3R9PAdQY8zQ==" saltValue="w5NOmHb846pOFSZrnj5D6w==" spinCount="100000" sheet="1" objects="1" scenarios="1"/>
  <mergeCells count="14">
    <mergeCell ref="A39:D43"/>
    <mergeCell ref="A37:D37"/>
    <mergeCell ref="A2:D2"/>
    <mergeCell ref="A3:D3"/>
    <mergeCell ref="A45:D45"/>
    <mergeCell ref="B4:B5"/>
    <mergeCell ref="A4:A6"/>
    <mergeCell ref="C4:C5"/>
    <mergeCell ref="A27:D27"/>
    <mergeCell ref="A29:D29"/>
    <mergeCell ref="A31:D31"/>
    <mergeCell ref="A33:D33"/>
    <mergeCell ref="A35:D35"/>
    <mergeCell ref="A44:D44"/>
  </mergeCells>
  <phoneticPr fontId="27"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zoomScale="85" zoomScaleNormal="85" workbookViewId="0">
      <selection activeCell="J13" sqref="J13"/>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 min="8" max="9" width="0" hidden="1" customWidth="1"/>
  </cols>
  <sheetData>
    <row r="2" spans="1:11" ht="16.399999999999999">
      <c r="A2" s="835" t="str">
        <f>CONCATENATE("ESTRUCTURAS DE PRECIOS PARA GASOLINA EXTRA OXIGENADA VIGENTES A PARTIR DE ",'COMBUSTIBLES '!$A$1)</f>
        <v>ESTRUCTURAS DE PRECIOS PARA GASOLINA EXTRA OXIGENADA VIGENTES A PARTIR DE 01 DE JULIO 2021</v>
      </c>
      <c r="B2" s="836"/>
      <c r="C2" s="836"/>
      <c r="D2" s="836"/>
      <c r="E2" s="836"/>
      <c r="F2" s="836"/>
    </row>
    <row r="3" spans="1:11" ht="16.399999999999999">
      <c r="A3" s="837" t="s">
        <v>0</v>
      </c>
      <c r="B3" s="838"/>
      <c r="C3" s="838"/>
      <c r="D3" s="838"/>
      <c r="E3" s="838"/>
      <c r="F3" s="838"/>
    </row>
    <row r="4" spans="1:11" ht="28.8">
      <c r="A4" s="830" t="s">
        <v>1</v>
      </c>
      <c r="B4" s="829" t="s">
        <v>27</v>
      </c>
      <c r="C4" s="829" t="s">
        <v>597</v>
      </c>
      <c r="D4" s="535" t="s">
        <v>29</v>
      </c>
      <c r="E4" s="839" t="s">
        <v>598</v>
      </c>
      <c r="F4" s="541" t="s">
        <v>29</v>
      </c>
      <c r="H4" s="400"/>
    </row>
    <row r="5" spans="1:11" ht="14.4">
      <c r="A5" s="814"/>
      <c r="B5" s="817"/>
      <c r="C5" s="817"/>
      <c r="D5" s="536">
        <v>0.04</v>
      </c>
      <c r="E5" s="840"/>
      <c r="F5" s="542">
        <v>0.04</v>
      </c>
    </row>
    <row r="6" spans="1:11" ht="30.15" customHeight="1" thickBot="1">
      <c r="A6" s="815"/>
      <c r="B6" s="72" t="str">
        <f>+'GASOLINA CORRIENTE OXIGENADA'!B6</f>
        <v>01 DE JULIO 2021</v>
      </c>
      <c r="C6" s="72" t="str">
        <f>+B6</f>
        <v>01 DE JULIO 2021</v>
      </c>
      <c r="D6" s="72" t="str">
        <f>+C6</f>
        <v>01 DE JULIO 2021</v>
      </c>
      <c r="E6" s="72" t="str">
        <f>+B6</f>
        <v>01 DE JULIO 2021</v>
      </c>
      <c r="F6" s="73" t="str">
        <f>+B6</f>
        <v>01 DE JULIO 2021</v>
      </c>
    </row>
    <row r="7" spans="1:11" ht="23.4" customHeight="1" thickTop="1">
      <c r="A7" s="71" t="s">
        <v>3</v>
      </c>
      <c r="B7" s="94">
        <f>+'GASOLINA CORRIENTE OXIGENADA'!B7</f>
        <v>8847</v>
      </c>
      <c r="C7" s="94">
        <f>+'COMBUSTIBLES '!C7</f>
        <v>7750</v>
      </c>
      <c r="D7" s="709">
        <f>+ROUND((C7*(1-D5))+($B$7*D5),2)</f>
        <v>7793.88</v>
      </c>
      <c r="E7" s="715">
        <f>+'COMBUSTIBLES '!D7</f>
        <v>7750</v>
      </c>
      <c r="F7" s="549">
        <f>+ROUND((E7*(1-F5))+($B$7*F5),2)</f>
        <v>7793.88</v>
      </c>
      <c r="G7" s="706"/>
      <c r="H7" s="595" t="s">
        <v>647</v>
      </c>
      <c r="K7" s="400"/>
    </row>
    <row r="8" spans="1:11" ht="23.4" customHeight="1">
      <c r="A8" s="63" t="s">
        <v>26</v>
      </c>
      <c r="B8" s="65"/>
      <c r="C8" s="65">
        <f>+'COMBUSTIBLES '!C8</f>
        <v>8.3842000000000017</v>
      </c>
      <c r="D8" s="517">
        <f>+C8</f>
        <v>8.3842000000000017</v>
      </c>
      <c r="E8" s="517">
        <f>+'COMBUSTIBLES '!E8</f>
        <v>8.3842000000000017</v>
      </c>
      <c r="F8" s="70">
        <f>+E8</f>
        <v>8.3842000000000017</v>
      </c>
      <c r="H8" s="677" t="s">
        <v>702</v>
      </c>
    </row>
    <row r="9" spans="1:11" ht="23.4" customHeight="1">
      <c r="A9" s="63" t="s">
        <v>226</v>
      </c>
      <c r="B9" s="67"/>
      <c r="C9" s="67" t="s">
        <v>11</v>
      </c>
      <c r="D9" s="537" t="s">
        <v>11</v>
      </c>
      <c r="E9" s="537" t="s">
        <v>11</v>
      </c>
      <c r="F9" s="75" t="s">
        <v>11</v>
      </c>
    </row>
    <row r="10" spans="1:11" ht="23.9" hidden="1" customHeight="1">
      <c r="A10" s="63" t="s">
        <v>224</v>
      </c>
      <c r="B10" s="67"/>
      <c r="C10" s="67">
        <f>+'COMBUSTIBLES '!C10</f>
        <v>0</v>
      </c>
      <c r="D10" s="537">
        <f>+C10</f>
        <v>0</v>
      </c>
      <c r="E10" s="537">
        <f>+'COMBUSTIBLES '!D10</f>
        <v>0</v>
      </c>
      <c r="F10" s="75">
        <f>+E10</f>
        <v>0</v>
      </c>
    </row>
    <row r="11" spans="1:11" ht="23.4" customHeight="1">
      <c r="A11" s="63" t="s">
        <v>256</v>
      </c>
      <c r="B11" s="65"/>
      <c r="C11" s="65">
        <f>+'COMBUSTIBLES '!C11</f>
        <v>1053.47</v>
      </c>
      <c r="D11" s="517">
        <f>+ROUND(+C11*(1-D5),2)</f>
        <v>1011.33</v>
      </c>
      <c r="E11" s="65">
        <f>+'COMBUSTIBLES '!D11</f>
        <v>1053.47</v>
      </c>
      <c r="F11" s="544">
        <f>+ROUND(+E11*(1-F5),2)</f>
        <v>1011.33</v>
      </c>
      <c r="H11" s="671">
        <f>0.9*1036.78</f>
        <v>933.10199999999998</v>
      </c>
      <c r="I11" s="671">
        <f>1053.47*0.9</f>
        <v>948.12300000000005</v>
      </c>
    </row>
    <row r="12" spans="1:11" ht="23.4" customHeight="1">
      <c r="A12" s="63" t="s">
        <v>262</v>
      </c>
      <c r="B12" s="65"/>
      <c r="C12" s="415" t="s">
        <v>326</v>
      </c>
      <c r="D12" s="515" t="s">
        <v>326</v>
      </c>
      <c r="E12" s="415" t="s">
        <v>326</v>
      </c>
      <c r="F12" s="545" t="s">
        <v>326</v>
      </c>
    </row>
    <row r="13" spans="1:11" ht="23.4" customHeight="1">
      <c r="A13" s="63" t="s">
        <v>305</v>
      </c>
      <c r="B13" s="65"/>
      <c r="C13" s="65">
        <f>+'COMBUSTIBLES '!C13</f>
        <v>159</v>
      </c>
      <c r="D13" s="517">
        <f>+ROUND(+C13*(1-D5),2)</f>
        <v>152.63999999999999</v>
      </c>
      <c r="E13" s="65">
        <f>+'COMBUSTIBLES '!D13</f>
        <v>159</v>
      </c>
      <c r="F13" s="544">
        <f>+ROUND(+E13*(1-F5),2)</f>
        <v>152.63999999999999</v>
      </c>
    </row>
    <row r="14" spans="1:11" ht="23.4" customHeight="1">
      <c r="A14" s="63" t="s">
        <v>251</v>
      </c>
      <c r="B14" s="67"/>
      <c r="C14" s="67" t="s">
        <v>12</v>
      </c>
      <c r="D14" s="537" t="s">
        <v>12</v>
      </c>
      <c r="E14" s="67" t="s">
        <v>12</v>
      </c>
      <c r="F14" s="546" t="s">
        <v>12</v>
      </c>
    </row>
    <row r="15" spans="1:11" ht="23.4" customHeight="1">
      <c r="A15" s="63" t="s">
        <v>4</v>
      </c>
      <c r="B15" s="65"/>
      <c r="C15" s="93"/>
      <c r="D15" s="538"/>
      <c r="E15" s="93"/>
      <c r="F15" s="547"/>
    </row>
    <row r="16" spans="1:11" ht="23.4" customHeight="1">
      <c r="A16" s="63" t="s">
        <v>720</v>
      </c>
      <c r="B16" s="65"/>
      <c r="C16" s="415" t="str">
        <f>+'COMBUSTIBLES '!C16</f>
        <v>(5)</v>
      </c>
      <c r="D16" s="415" t="str">
        <f>+'COMBUSTIBLES '!D16</f>
        <v>(5)</v>
      </c>
      <c r="E16" s="415" t="str">
        <f>+'COMBUSTIBLES '!D16</f>
        <v>(5)</v>
      </c>
      <c r="F16" s="415" t="str">
        <f>+'COMBUSTIBLES '!D16</f>
        <v>(5)</v>
      </c>
    </row>
    <row r="17" spans="1:6" ht="23.4" customHeight="1">
      <c r="A17" s="63" t="s">
        <v>5</v>
      </c>
      <c r="B17" s="66"/>
      <c r="C17" s="66"/>
      <c r="D17" s="539"/>
      <c r="E17" s="66"/>
      <c r="F17" s="548"/>
    </row>
    <row r="18" spans="1:6" ht="23.4" customHeight="1">
      <c r="A18" s="63" t="s">
        <v>6</v>
      </c>
      <c r="B18" s="65"/>
      <c r="C18" s="93"/>
      <c r="D18" s="538"/>
      <c r="E18" s="93"/>
      <c r="F18" s="319"/>
    </row>
    <row r="19" spans="1:6" ht="23.4" customHeight="1">
      <c r="A19" s="63" t="s">
        <v>7</v>
      </c>
      <c r="B19" s="65"/>
      <c r="C19" s="65"/>
      <c r="D19" s="517"/>
      <c r="E19" s="65"/>
      <c r="F19" s="70"/>
    </row>
    <row r="20" spans="1:6" ht="23.4" customHeight="1">
      <c r="A20" s="63" t="s">
        <v>223</v>
      </c>
      <c r="B20" s="65"/>
      <c r="C20" s="65"/>
      <c r="D20" s="517"/>
      <c r="E20" s="65"/>
      <c r="F20" s="70"/>
    </row>
    <row r="21" spans="1:6" ht="23.4" customHeight="1" thickBot="1">
      <c r="A21" s="68" t="s">
        <v>9</v>
      </c>
      <c r="B21" s="78"/>
      <c r="C21" s="78" t="s">
        <v>12</v>
      </c>
      <c r="D21" s="540" t="s">
        <v>12</v>
      </c>
      <c r="E21" s="78" t="s">
        <v>12</v>
      </c>
      <c r="F21" s="79" t="s">
        <v>12</v>
      </c>
    </row>
    <row r="22" spans="1:6" ht="15.05" thickTop="1">
      <c r="A22" s="12"/>
      <c r="B22" s="13"/>
      <c r="C22" s="13"/>
      <c r="D22" s="13"/>
      <c r="E22" s="13"/>
      <c r="F22" s="13"/>
    </row>
    <row r="23" spans="1:6" ht="26.35" customHeight="1">
      <c r="A23" s="823" t="s">
        <v>212</v>
      </c>
      <c r="B23" s="823"/>
      <c r="C23" s="823"/>
      <c r="D23" s="823"/>
      <c r="E23" s="6"/>
      <c r="F23" s="6"/>
    </row>
    <row r="24" spans="1:6">
      <c r="A24" s="687"/>
      <c r="B24" s="687"/>
      <c r="C24" s="687"/>
      <c r="D24" s="687"/>
      <c r="E24" s="687"/>
      <c r="F24" s="543"/>
    </row>
    <row r="25" spans="1:6" ht="26.35" customHeight="1">
      <c r="A25" s="842" t="s">
        <v>225</v>
      </c>
      <c r="B25" s="842"/>
      <c r="C25" s="842"/>
      <c r="D25" s="842"/>
      <c r="E25" s="842"/>
      <c r="F25" s="6"/>
    </row>
    <row r="26" spans="1:6">
      <c r="A26" s="687"/>
      <c r="B26" s="687"/>
      <c r="C26" s="687"/>
      <c r="D26" s="687"/>
      <c r="E26" s="687"/>
      <c r="F26" s="543"/>
    </row>
    <row r="27" spans="1:6" ht="14.25" hidden="1" customHeight="1">
      <c r="A27" s="841" t="s">
        <v>274</v>
      </c>
      <c r="B27" s="841"/>
      <c r="C27" s="841"/>
      <c r="D27" s="841"/>
      <c r="E27" s="841"/>
      <c r="F27" s="6"/>
    </row>
    <row r="28" spans="1:6" ht="14.25" customHeight="1">
      <c r="A28" s="842" t="s">
        <v>710</v>
      </c>
      <c r="B28" s="842"/>
      <c r="C28" s="842"/>
      <c r="D28" s="842"/>
      <c r="E28" s="842"/>
      <c r="F28" s="842"/>
    </row>
    <row r="29" spans="1:6" ht="14.25" customHeight="1">
      <c r="A29" s="842"/>
      <c r="B29" s="842"/>
      <c r="C29" s="842"/>
      <c r="D29" s="842"/>
      <c r="E29" s="842"/>
      <c r="F29" s="842"/>
    </row>
    <row r="30" spans="1:6" ht="14.25" customHeight="1">
      <c r="A30" s="842"/>
      <c r="B30" s="842"/>
      <c r="C30" s="842"/>
      <c r="D30" s="842"/>
      <c r="E30" s="842"/>
      <c r="F30" s="842"/>
    </row>
    <row r="31" spans="1:6" ht="14.25" customHeight="1">
      <c r="A31" s="842"/>
      <c r="B31" s="842"/>
      <c r="C31" s="842"/>
      <c r="D31" s="842"/>
      <c r="E31" s="842"/>
      <c r="F31" s="842"/>
    </row>
    <row r="32" spans="1:6" ht="14.25" customHeight="1">
      <c r="A32" s="842"/>
      <c r="B32" s="842"/>
      <c r="C32" s="842"/>
      <c r="D32" s="842"/>
      <c r="E32" s="842"/>
      <c r="F32" s="842"/>
    </row>
    <row r="33" spans="1:9" ht="19.649999999999999" customHeight="1">
      <c r="A33" s="843" t="s">
        <v>724</v>
      </c>
      <c r="B33" s="843"/>
      <c r="C33" s="843"/>
      <c r="D33" s="843"/>
      <c r="E33" s="843"/>
      <c r="F33" s="843"/>
      <c r="G33" s="843"/>
      <c r="H33" s="843"/>
      <c r="I33" s="843"/>
    </row>
    <row r="34" spans="1:9" ht="138.15" customHeight="1">
      <c r="A34" s="808" t="s">
        <v>282</v>
      </c>
      <c r="B34" s="808"/>
      <c r="C34" s="808"/>
      <c r="D34" s="808"/>
      <c r="E34" s="6"/>
      <c r="F34" s="6"/>
    </row>
  </sheetData>
  <sheetProtection algorithmName="SHA-512" hashValue="Ft7vqwIi784wsDr4ZNGCTUPKogNtTm065oDlYDhHPoc2zny9GdjX74VZjYPkhUY9uoUitbZ/AWBdizPZrVobKA==" saltValue="Jy4aq9udLzbv1BKQqnzbMw==" spinCount="100000" sheet="1" objects="1" scenarios="1"/>
  <mergeCells count="12">
    <mergeCell ref="A23:D23"/>
    <mergeCell ref="A34:D34"/>
    <mergeCell ref="A27:E27"/>
    <mergeCell ref="A25:E25"/>
    <mergeCell ref="A28:F32"/>
    <mergeCell ref="A33:I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zoomScale="70" zoomScaleNormal="70" workbookViewId="0">
      <selection activeCell="S9" sqref="S9"/>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16" style="6" hidden="1" customWidth="1"/>
    <col min="7" max="7" width="23.125" style="6" customWidth="1"/>
    <col min="8" max="8" width="14.75" style="6" customWidth="1"/>
    <col min="9" max="9" width="10.25" style="6" hidden="1" customWidth="1"/>
    <col min="10"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17" width="9.875" style="6" hidden="1" customWidth="1"/>
    <col min="18" max="76" width="9.875" style="6" customWidth="1"/>
    <col min="77" max="16384" width="9.875" style="6"/>
  </cols>
  <sheetData>
    <row r="1" spans="1:76" s="54" customFormat="1" ht="15.05" thickBot="1">
      <c r="A1" s="53"/>
    </row>
    <row r="2" spans="1:76" s="49" customFormat="1" ht="42.75" customHeight="1" thickTop="1">
      <c r="A2" s="845" t="str">
        <f>CONCATENATE("ESTRUCTURAS DE PRECIOS PARA LA MEZCLA DE BIOCOMBUSTIBLE PARA USO EN MOTORES DIESEL CON EL ACPM VIGENTES A PARTIR DE ",'COMBUSTIBLES '!$A$1)</f>
        <v>ESTRUCTURAS DE PRECIOS PARA LA MEZCLA DE BIOCOMBUSTIBLE PARA USO EN MOTORES DIESEL CON EL ACPM VIGENTES A PARTIR DE 01 DE JULIO 2021</v>
      </c>
      <c r="B2" s="846"/>
      <c r="C2" s="846"/>
      <c r="D2" s="846"/>
      <c r="E2" s="846"/>
      <c r="F2" s="846"/>
      <c r="G2" s="846"/>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49999999999999" customHeight="1">
      <c r="A3" s="847" t="s">
        <v>0</v>
      </c>
      <c r="B3" s="848"/>
      <c r="C3" s="848"/>
      <c r="D3" s="848"/>
      <c r="E3" s="848"/>
      <c r="F3" s="848"/>
      <c r="G3" s="848"/>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15" customHeight="1">
      <c r="A4" s="849" t="s">
        <v>1</v>
      </c>
      <c r="B4" s="83" t="s">
        <v>163</v>
      </c>
      <c r="C4" s="852" t="s">
        <v>719</v>
      </c>
      <c r="D4" s="852" t="s">
        <v>718</v>
      </c>
      <c r="E4" s="84" t="s">
        <v>584</v>
      </c>
      <c r="F4" s="84" t="s">
        <v>715</v>
      </c>
      <c r="G4" s="84" t="s">
        <v>707</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50"/>
      <c r="B5" s="85">
        <v>1</v>
      </c>
      <c r="C5" s="853"/>
      <c r="D5" s="853"/>
      <c r="E5" s="86">
        <v>0.02</v>
      </c>
      <c r="F5" s="86">
        <v>0.1</v>
      </c>
      <c r="G5" s="86">
        <v>0.12</v>
      </c>
      <c r="H5" s="720"/>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51"/>
      <c r="B6" s="176" t="str">
        <f>+'COMBUSTIBLES '!A1</f>
        <v>01 DE JULIO 2021</v>
      </c>
      <c r="C6" s="176" t="str">
        <f>+B6</f>
        <v>01 DE JULIO 2021</v>
      </c>
      <c r="D6" s="176" t="str">
        <f>+C6</f>
        <v>01 DE JULIO 2021</v>
      </c>
      <c r="E6" s="177" t="str">
        <f>+B6</f>
        <v>01 DE JULIO 2021</v>
      </c>
      <c r="F6" s="177" t="str">
        <f>+B6</f>
        <v>01 DE JULIO 2021</v>
      </c>
      <c r="G6" s="177" t="str">
        <f>+B6</f>
        <v>01 DE JULIO 2021</v>
      </c>
      <c r="H6" s="712"/>
      <c r="I6" s="71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610">
        <v>17582.68</v>
      </c>
      <c r="C7" s="610">
        <f>+'COMBUSTIBLES '!E7</f>
        <v>4115.9399999999996</v>
      </c>
      <c r="D7" s="610">
        <f>+C7</f>
        <v>4115.9399999999996</v>
      </c>
      <c r="E7" s="124"/>
      <c r="F7" s="124"/>
      <c r="G7" s="124"/>
      <c r="H7" s="125"/>
      <c r="I7" s="132"/>
      <c r="J7" s="596" t="s">
        <v>648</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4033.62</v>
      </c>
      <c r="F8" s="717">
        <f>+ROUND(C7*(1-F5), 3)</f>
        <v>3704.346</v>
      </c>
      <c r="G8" s="87">
        <f>+ROUND(+C7*(1-G5),3)</f>
        <v>3622.027</v>
      </c>
      <c r="H8" s="125"/>
      <c r="I8" s="663" t="s">
        <v>653</v>
      </c>
      <c r="J8" s="125"/>
      <c r="K8" s="125"/>
      <c r="L8" s="125"/>
      <c r="M8" s="125"/>
      <c r="N8" s="125" t="s">
        <v>654</v>
      </c>
      <c r="O8" s="125"/>
      <c r="P8" s="125" t="s">
        <v>655</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190</v>
      </c>
      <c r="B9" s="89"/>
      <c r="C9" s="89"/>
      <c r="D9" s="89"/>
      <c r="E9" s="87">
        <f>+ROUND($B$7*E5,2)</f>
        <v>351.65</v>
      </c>
      <c r="F9" s="717">
        <f>+ROUND($B$7*F5,3)</f>
        <v>1758.268</v>
      </c>
      <c r="G9" s="87">
        <f>+ROUND($B$7*G5,3)</f>
        <v>2109.922</v>
      </c>
      <c r="H9" s="125"/>
      <c r="I9" s="663" t="s">
        <v>652</v>
      </c>
      <c r="J9" s="589"/>
      <c r="K9" s="125"/>
      <c r="L9" s="125"/>
      <c r="M9" s="125"/>
      <c r="N9" s="125" t="s">
        <v>650</v>
      </c>
      <c r="O9" s="125"/>
      <c r="P9" s="125" t="s">
        <v>650</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599</v>
      </c>
      <c r="B10" s="89"/>
      <c r="C10" s="89"/>
      <c r="D10" s="89"/>
      <c r="E10" s="87">
        <f>+E9+E8</f>
        <v>4385.2699999999995</v>
      </c>
      <c r="F10" s="717">
        <f>+F9+F8</f>
        <v>5462.6139999999996</v>
      </c>
      <c r="G10" s="87">
        <f>+G9+G8</f>
        <v>5731.9490000000005</v>
      </c>
      <c r="H10" s="125"/>
      <c r="I10" s="663" t="s">
        <v>652</v>
      </c>
      <c r="J10" s="597" t="s">
        <v>649</v>
      </c>
      <c r="K10" s="125"/>
      <c r="L10" s="125"/>
      <c r="M10" s="125"/>
      <c r="N10" s="721">
        <f>+B7*0.02+C7*0.98</f>
        <v>4385.2747999999992</v>
      </c>
      <c r="O10" s="125"/>
      <c r="P10" s="598">
        <f>+B7*0.1+C7*0.9</f>
        <v>5462.6139999999996</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717">
        <f>+ROUND($C$11*(1-F5),2)</f>
        <v>478.14</v>
      </c>
      <c r="G11" s="87">
        <f>+ROUND($D$11*(1-G5),2)</f>
        <v>467.52</v>
      </c>
      <c r="H11" s="125"/>
      <c r="I11" s="663" t="s">
        <v>652</v>
      </c>
      <c r="J11" s="688" t="s">
        <v>703</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H12" s="125"/>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125"/>
      <c r="I13" s="663" t="s">
        <v>652</v>
      </c>
      <c r="J13" s="48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125"/>
      <c r="I14" s="663" t="s">
        <v>652</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227</v>
      </c>
      <c r="B15" s="89"/>
      <c r="C15" s="89" t="s">
        <v>11</v>
      </c>
      <c r="D15" s="89" t="str">
        <f t="shared" si="0"/>
        <v>(*)</v>
      </c>
      <c r="E15" s="87" t="str">
        <f t="shared" si="0"/>
        <v>(*)</v>
      </c>
      <c r="F15" s="87" t="str">
        <f t="shared" si="0"/>
        <v>(*)</v>
      </c>
      <c r="G15" s="87" t="str">
        <f>+D15</f>
        <v>(*)</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228</v>
      </c>
      <c r="B16" s="89" t="s">
        <v>158</v>
      </c>
      <c r="C16" s="89"/>
      <c r="D16" s="89"/>
      <c r="E16" s="87" t="s">
        <v>12</v>
      </c>
      <c r="F16" s="87" t="str">
        <f>+E16</f>
        <v>(**)</v>
      </c>
      <c r="G16" s="87" t="str">
        <f>+E16</f>
        <v>(**)</v>
      </c>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216</v>
      </c>
      <c r="B17" s="89"/>
      <c r="C17" s="89">
        <f>'COMBUSTIBLES '!E10</f>
        <v>0</v>
      </c>
      <c r="D17" s="89">
        <f>+C17</f>
        <v>0</v>
      </c>
      <c r="E17" s="87">
        <f>+C17</f>
        <v>0</v>
      </c>
      <c r="F17" s="87">
        <f>+D17</f>
        <v>0</v>
      </c>
      <c r="G17" s="87">
        <f>+E17</f>
        <v>0</v>
      </c>
      <c r="H17" s="125"/>
      <c r="I17" s="663" t="s">
        <v>652</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158</v>
      </c>
      <c r="F19" s="122"/>
      <c r="G19" s="399" t="s">
        <v>219</v>
      </c>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158</v>
      </c>
      <c r="F20" s="122"/>
      <c r="G20" s="122" t="s">
        <v>22</v>
      </c>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158</v>
      </c>
      <c r="F21" s="122"/>
      <c r="G21" s="87" t="s">
        <v>219</v>
      </c>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230</v>
      </c>
      <c r="B22" s="128"/>
      <c r="C22" s="128"/>
      <c r="D22" s="128"/>
      <c r="E22" s="122" t="s">
        <v>158</v>
      </c>
      <c r="F22" s="122"/>
      <c r="G22" s="87" t="s">
        <v>219</v>
      </c>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8</v>
      </c>
      <c r="B23" s="89"/>
      <c r="C23" s="89"/>
      <c r="D23" s="89"/>
      <c r="E23" s="87"/>
      <c r="F23" s="87"/>
      <c r="G23" s="730">
        <f>'COMBUSTIBLES '!E16</f>
        <v>301</v>
      </c>
      <c r="H23" s="125"/>
      <c r="I23" s="663" t="s">
        <v>652</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158</v>
      </c>
      <c r="F24" s="92"/>
      <c r="G24" s="92" t="s">
        <v>22</v>
      </c>
      <c r="H24" s="125"/>
      <c r="I24" s="664" t="s">
        <v>685</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503" t="s">
        <v>162</v>
      </c>
      <c r="B26" s="503"/>
      <c r="C26" s="503"/>
      <c r="D26" s="503"/>
      <c r="E26" s="504"/>
      <c r="F26" s="504"/>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5"/>
      <c r="B27" s="504"/>
      <c r="C27" s="504"/>
      <c r="D27" s="504"/>
      <c r="E27" s="504"/>
      <c r="F27" s="504"/>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503" t="s">
        <v>261</v>
      </c>
      <c r="B28" s="503"/>
      <c r="C28" s="503"/>
      <c r="D28" s="503"/>
      <c r="E28" s="504"/>
      <c r="F28" s="504"/>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5" customHeight="1">
      <c r="A29" s="505"/>
      <c r="B29" s="504"/>
      <c r="C29" s="504"/>
      <c r="D29" s="504"/>
      <c r="E29" s="504"/>
      <c r="F29" s="504"/>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55" t="s">
        <v>212</v>
      </c>
      <c r="B30" s="855"/>
      <c r="C30" s="855"/>
      <c r="D30" s="855"/>
      <c r="E30" s="855"/>
      <c r="F30" s="855"/>
      <c r="G30" s="855"/>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6"/>
      <c r="B31" s="506"/>
      <c r="C31" s="506"/>
      <c r="D31" s="506"/>
      <c r="E31" s="507"/>
      <c r="F31" s="507"/>
      <c r="G31" s="507"/>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9" customFormat="1" ht="24.75" customHeight="1">
      <c r="A32" s="855" t="s">
        <v>247</v>
      </c>
      <c r="B32" s="855"/>
      <c r="C32" s="855"/>
      <c r="D32" s="855"/>
      <c r="E32" s="855"/>
      <c r="F32" s="855"/>
      <c r="G32" s="855"/>
    </row>
    <row r="33" spans="1:7" s="509" customFormat="1" ht="11.3" customHeight="1">
      <c r="A33" s="510" t="s">
        <v>158</v>
      </c>
      <c r="B33" s="511"/>
      <c r="C33" s="511"/>
      <c r="D33" s="511"/>
      <c r="E33" s="508"/>
      <c r="F33" s="508"/>
      <c r="G33" s="508"/>
    </row>
    <row r="34" spans="1:7" s="509" customFormat="1" ht="32.25" customHeight="1">
      <c r="A34" s="855" t="s">
        <v>229</v>
      </c>
      <c r="B34" s="855"/>
      <c r="C34" s="855"/>
      <c r="D34" s="855"/>
      <c r="E34" s="855"/>
      <c r="F34" s="855"/>
      <c r="G34" s="855"/>
    </row>
    <row r="35" spans="1:7" s="509" customFormat="1" ht="10.5" customHeight="1">
      <c r="A35" s="506"/>
      <c r="B35" s="506"/>
      <c r="C35" s="506"/>
      <c r="D35" s="506"/>
      <c r="E35" s="508"/>
      <c r="F35" s="508"/>
      <c r="G35" s="508"/>
    </row>
    <row r="36" spans="1:7" s="509" customFormat="1" ht="42.75" customHeight="1">
      <c r="A36" s="855" t="s">
        <v>221</v>
      </c>
      <c r="B36" s="855"/>
      <c r="C36" s="855"/>
      <c r="D36" s="855"/>
      <c r="E36" s="855"/>
      <c r="F36" s="855"/>
      <c r="G36" s="855"/>
    </row>
    <row r="37" spans="1:7" s="509" customFormat="1" ht="7.55" customHeight="1">
      <c r="A37" s="510"/>
      <c r="B37" s="511"/>
      <c r="C37" s="511"/>
      <c r="D37" s="511"/>
      <c r="E37" s="508"/>
      <c r="F37" s="508"/>
      <c r="G37" s="508"/>
    </row>
    <row r="38" spans="1:7" s="509" customFormat="1" ht="31.6" customHeight="1">
      <c r="A38" s="856" t="s">
        <v>274</v>
      </c>
      <c r="B38" s="856"/>
      <c r="C38" s="856"/>
      <c r="D38" s="856"/>
      <c r="E38" s="856"/>
      <c r="F38" s="856"/>
      <c r="G38" s="856"/>
    </row>
    <row r="39" spans="1:7" s="54" customFormat="1" ht="14.25" customHeight="1">
      <c r="A39" s="854" t="s">
        <v>583</v>
      </c>
      <c r="B39" s="854"/>
      <c r="C39" s="854"/>
      <c r="D39" s="854"/>
      <c r="E39" s="854"/>
      <c r="F39" s="854"/>
      <c r="G39" s="854"/>
    </row>
    <row r="40" spans="1:7" s="54" customFormat="1">
      <c r="A40" s="854"/>
      <c r="B40" s="854"/>
      <c r="C40" s="854"/>
      <c r="D40" s="854"/>
      <c r="E40" s="854"/>
      <c r="F40" s="854"/>
      <c r="G40" s="854"/>
    </row>
    <row r="41" spans="1:7" s="54" customFormat="1">
      <c r="A41" s="854"/>
      <c r="B41" s="854"/>
      <c r="C41" s="854"/>
      <c r="D41" s="854"/>
      <c r="E41" s="854"/>
      <c r="F41" s="854"/>
      <c r="G41" s="854"/>
    </row>
    <row r="42" spans="1:7" s="54" customFormat="1">
      <c r="A42" s="854"/>
      <c r="B42" s="854"/>
      <c r="C42" s="854"/>
      <c r="D42" s="854"/>
      <c r="E42" s="854"/>
      <c r="F42" s="854"/>
      <c r="G42" s="854"/>
    </row>
    <row r="43" spans="1:7" s="54" customFormat="1">
      <c r="A43" s="501"/>
      <c r="B43" s="501"/>
      <c r="C43" s="501"/>
      <c r="D43" s="501"/>
      <c r="E43" s="501"/>
      <c r="F43" s="501"/>
      <c r="G43" s="82"/>
    </row>
    <row r="44" spans="1:7" s="54" customFormat="1">
      <c r="A44" s="854"/>
      <c r="B44" s="854"/>
      <c r="C44" s="854"/>
      <c r="D44" s="854"/>
      <c r="E44" s="854"/>
      <c r="F44" s="854"/>
      <c r="G44" s="82"/>
    </row>
    <row r="45" spans="1:7" s="54" customFormat="1" ht="93.8" customHeight="1">
      <c r="A45" s="844" t="s">
        <v>282</v>
      </c>
      <c r="B45" s="844"/>
      <c r="C45" s="844"/>
      <c r="D45" s="844"/>
      <c r="E45" s="844"/>
      <c r="F45" s="844"/>
      <c r="G45" s="844"/>
    </row>
  </sheetData>
  <sheetProtection algorithmName="SHA-512" hashValue="rQxFNvaM5zQz/GE1npIaSaQkuVGoeIauGYv2oOWo4rUGvAhWpuPL1ICucbYKZoG80o+5FEyoB87mEVslEDUXxg==" saltValue="HmOFrkS8+KS/T/QKO/oi9Q==" spinCount="100000"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7"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2021-07-06T20:17:33Z</dcterms:modified>
</cp:coreProperties>
</file>